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IUFR\"/>
    </mc:Choice>
  </mc:AlternateContent>
  <bookViews>
    <workbookView xWindow="0" yWindow="0" windowWidth="20490" windowHeight="7065" activeTab="1"/>
  </bookViews>
  <sheets>
    <sheet name="Sources and Uses of Funds" sheetId="4" r:id="rId1"/>
    <sheet name="uses of fund by component" sheetId="8" r:id="rId2"/>
    <sheet name="Committed Fund by component" sheetId="10" r:id="rId3"/>
    <sheet name="NOTES " sheetId="16" r:id="rId4"/>
  </sheets>
  <definedNames>
    <definedName name="_xlnm.Print_Titles" localSheetId="1">'uses of fund by component'!$1:$4</definedName>
  </definedNames>
  <calcPr calcId="152511"/>
</workbook>
</file>

<file path=xl/calcChain.xml><?xml version="1.0" encoding="utf-8"?>
<calcChain xmlns="http://schemas.openxmlformats.org/spreadsheetml/2006/main">
  <c r="C245" i="8" l="1"/>
  <c r="D12" i="16" l="1"/>
  <c r="D14" i="16" s="1"/>
  <c r="D30" i="16" l="1"/>
  <c r="D41" i="16"/>
  <c r="D39" i="16"/>
  <c r="D27" i="16"/>
  <c r="D33" i="16"/>
  <c r="E27" i="4" l="1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85" i="8"/>
  <c r="C184" i="8"/>
  <c r="C183" i="8"/>
  <c r="C182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1" i="8"/>
  <c r="C70" i="8"/>
  <c r="C69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38" i="8"/>
  <c r="C39" i="8"/>
  <c r="C40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B91" i="8" l="1"/>
  <c r="B88" i="8" s="1"/>
  <c r="B89" i="8" s="1"/>
  <c r="B90" i="8" s="1"/>
  <c r="B84" i="8"/>
  <c r="B86" i="8" s="1"/>
  <c r="B81" i="8"/>
  <c r="B80" i="8" s="1"/>
  <c r="B79" i="8"/>
  <c r="B78" i="8" s="1"/>
  <c r="B187" i="8"/>
  <c r="B188" i="8" s="1"/>
  <c r="B175" i="8"/>
  <c r="B176" i="8" s="1"/>
  <c r="B177" i="8" s="1"/>
  <c r="B178" i="8" s="1"/>
  <c r="B92" i="8" l="1"/>
  <c r="B93" i="8" s="1"/>
  <c r="B94" i="8" s="1"/>
  <c r="B95" i="8" s="1"/>
  <c r="B85" i="8"/>
  <c r="B87" i="8" s="1"/>
  <c r="B19" i="8"/>
  <c r="B165" i="8"/>
  <c r="E15" i="4" l="1"/>
  <c r="F15" i="4" s="1"/>
  <c r="D36" i="16" l="1"/>
  <c r="D25" i="16"/>
  <c r="C268" i="8"/>
  <c r="C66" i="8"/>
  <c r="D43" i="16" l="1"/>
  <c r="C75" i="8"/>
  <c r="D46" i="16" l="1"/>
  <c r="C129" i="8"/>
  <c r="D30" i="4" s="1"/>
  <c r="C159" i="8"/>
  <c r="D31" i="4" s="1"/>
  <c r="C113" i="8"/>
  <c r="C251" i="8"/>
  <c r="C279" i="8" s="1"/>
  <c r="D45" i="16" s="1"/>
  <c r="D28" i="4"/>
  <c r="D251" i="8"/>
  <c r="E251" i="8"/>
  <c r="F251" i="8"/>
  <c r="G251" i="8"/>
  <c r="H251" i="8"/>
  <c r="D75" i="8"/>
  <c r="E75" i="8"/>
  <c r="F75" i="8"/>
  <c r="F17" i="4"/>
  <c r="E17" i="4"/>
  <c r="E23" i="4" s="1"/>
  <c r="F23" i="4"/>
  <c r="D22" i="10"/>
  <c r="D129" i="8"/>
  <c r="E18" i="10"/>
  <c r="E22" i="10" s="1"/>
  <c r="G22" i="10"/>
  <c r="F22" i="10"/>
  <c r="C22" i="10"/>
  <c r="C34" i="10" s="1"/>
  <c r="H22" i="10"/>
  <c r="D66" i="8"/>
  <c r="D113" i="8"/>
  <c r="D159" i="8"/>
  <c r="D268" i="8"/>
  <c r="E129" i="8"/>
  <c r="G159" i="8"/>
  <c r="F159" i="8"/>
  <c r="G66" i="8"/>
  <c r="F66" i="8"/>
  <c r="F268" i="8"/>
  <c r="G268" i="8"/>
  <c r="G129" i="8"/>
  <c r="F129" i="8"/>
  <c r="G75" i="8"/>
  <c r="E40" i="4"/>
  <c r="E38" i="4"/>
  <c r="E159" i="8"/>
  <c r="E271" i="8"/>
  <c r="E272" i="8"/>
  <c r="D17" i="4"/>
  <c r="D23" i="4" s="1"/>
  <c r="E113" i="8"/>
  <c r="E268" i="8"/>
  <c r="H66" i="8"/>
  <c r="D274" i="8"/>
  <c r="C274" i="8"/>
  <c r="E66" i="8"/>
  <c r="D27" i="4"/>
  <c r="E46" i="4" l="1"/>
  <c r="F46" i="4" s="1"/>
  <c r="D34" i="10"/>
  <c r="E34" i="10" s="1"/>
  <c r="E31" i="4"/>
  <c r="F31" i="4" s="1"/>
  <c r="E30" i="4"/>
  <c r="F30" i="4" s="1"/>
  <c r="E28" i="4"/>
  <c r="F27" i="4"/>
  <c r="D32" i="4"/>
  <c r="E274" i="8"/>
  <c r="H159" i="8"/>
  <c r="D279" i="8"/>
  <c r="D29" i="4"/>
  <c r="E29" i="4" s="1"/>
  <c r="F29" i="4" s="1"/>
  <c r="D46" i="4"/>
  <c r="D48" i="4" s="1"/>
  <c r="D33" i="4"/>
  <c r="E48" i="4" l="1"/>
  <c r="F48" i="4" s="1"/>
  <c r="E33" i="4"/>
  <c r="E32" i="4"/>
  <c r="F32" i="4" s="1"/>
  <c r="F28" i="4"/>
  <c r="E279" i="8"/>
  <c r="D35" i="4"/>
  <c r="D39" i="4" s="1"/>
  <c r="E35" i="4" l="1"/>
  <c r="E39" i="4" s="1"/>
  <c r="F33" i="4"/>
  <c r="F35" i="4" s="1"/>
  <c r="D36" i="4"/>
  <c r="D49" i="4" s="1"/>
  <c r="D41" i="4"/>
  <c r="D50" i="4" s="1"/>
  <c r="F39" i="4" l="1"/>
  <c r="F36" i="4"/>
  <c r="F49" i="4" s="1"/>
  <c r="E36" i="4"/>
  <c r="E49" i="4" s="1"/>
  <c r="E41" i="4"/>
  <c r="F41" i="4" l="1"/>
  <c r="F50" i="4" s="1"/>
  <c r="E50" i="4"/>
</calcChain>
</file>

<file path=xl/sharedStrings.xml><?xml version="1.0" encoding="utf-8"?>
<sst xmlns="http://schemas.openxmlformats.org/spreadsheetml/2006/main" count="308" uniqueCount="174">
  <si>
    <t>Total</t>
  </si>
  <si>
    <t>Expenditure</t>
  </si>
  <si>
    <t>Sources of Fund</t>
  </si>
  <si>
    <t>Opening Cash Balance</t>
  </si>
  <si>
    <t>Add Receipts</t>
  </si>
  <si>
    <t>Total Financing</t>
  </si>
  <si>
    <t>Total Closing Cash Balance</t>
  </si>
  <si>
    <t>Actual</t>
  </si>
  <si>
    <t>Planned</t>
  </si>
  <si>
    <t>Variance</t>
  </si>
  <si>
    <t>Others</t>
  </si>
  <si>
    <t>Project</t>
  </si>
  <si>
    <t>Revised</t>
  </si>
  <si>
    <t>PAD</t>
  </si>
  <si>
    <t>Closing Balances</t>
  </si>
  <si>
    <t>Total Uses of Funds by Components</t>
  </si>
  <si>
    <t>Sub Total</t>
  </si>
  <si>
    <t>Explanation of</t>
  </si>
  <si>
    <t xml:space="preserve">PAD /Life of </t>
  </si>
  <si>
    <t>Financial Year End</t>
  </si>
  <si>
    <t>Cummulative for</t>
  </si>
  <si>
    <t xml:space="preserve">Cummulative for  </t>
  </si>
  <si>
    <t>Statement of Sources and Uses of Funds</t>
  </si>
  <si>
    <t>World Bank IDA Funds</t>
  </si>
  <si>
    <t>Uses of Funds (Breakdown)</t>
  </si>
  <si>
    <t xml:space="preserve">Grand Total Uses of Funds </t>
  </si>
  <si>
    <t xml:space="preserve">Less:  ACE Expenditure </t>
  </si>
  <si>
    <t>Government Funds</t>
  </si>
  <si>
    <t>(USD)</t>
  </si>
  <si>
    <t>Contingency</t>
  </si>
  <si>
    <t>2.0 LEARNING AND TEACHING ENVIRONMENT</t>
  </si>
  <si>
    <t>4.0 ACADEMIC PARTNERSHIP</t>
  </si>
  <si>
    <t>5.0 INDUSTRAIL PARTNERSHIP</t>
  </si>
  <si>
    <t>6.0 GOVERNANCE AND ADMINISTRATION</t>
  </si>
  <si>
    <t>7.0 CENTRE VISIBILITY</t>
  </si>
  <si>
    <t>Total Funds committed</t>
  </si>
  <si>
    <t>Committed Funds</t>
  </si>
  <si>
    <t>NB:</t>
  </si>
  <si>
    <t>* TOTAL USES OF FUNDS( Funds used + committed funds)</t>
  </si>
  <si>
    <t xml:space="preserve"> COMPLETION OF THE AGREED MILESTONES/TARGETS BEFORE PAYMENTS.</t>
  </si>
  <si>
    <t xml:space="preserve">COMMITTED FUNDS MEANS CONTRACT HAVE BEEN SIGNED AND AWAITING THE </t>
  </si>
  <si>
    <t xml:space="preserve">Expenditure Classificiation </t>
  </si>
  <si>
    <t>Consultant  and Travel Costs</t>
  </si>
  <si>
    <t>Consultant Costs, including project implementation and administration staff</t>
  </si>
  <si>
    <t>Travel, Accommodation,  and Per Diem</t>
  </si>
  <si>
    <t>Travel and Accomodation</t>
  </si>
  <si>
    <t xml:space="preserve">Per Diem </t>
  </si>
  <si>
    <t>i.</t>
  </si>
  <si>
    <t>International travel</t>
  </si>
  <si>
    <t>ii.</t>
  </si>
  <si>
    <t>Domestic travel</t>
  </si>
  <si>
    <t>Total (Travel, Accommodation, and Per Diem)</t>
  </si>
  <si>
    <t>Training and conference fees</t>
  </si>
  <si>
    <t>Goods and equipment</t>
  </si>
  <si>
    <t xml:space="preserve">Learning and Research Equipment </t>
  </si>
  <si>
    <t>Vehicles</t>
  </si>
  <si>
    <t>Other goods incl. reagents</t>
  </si>
  <si>
    <t>Total Goods and Equipment</t>
  </si>
  <si>
    <t>Scholarship Payments</t>
  </si>
  <si>
    <t>ACE Hosted Workshops and Seminars</t>
  </si>
  <si>
    <t>Workshops and Seminars</t>
  </si>
  <si>
    <t>Civil Works</t>
  </si>
  <si>
    <t>Civil works, including rehabilitation and new construction</t>
  </si>
  <si>
    <t>Marketing, Communication, and Recruitment</t>
  </si>
  <si>
    <t>Communication and Marketing, including website</t>
  </si>
  <si>
    <t>General Expenses</t>
  </si>
  <si>
    <t>Operating costs including utilities, banking fees etc.</t>
  </si>
  <si>
    <t xml:space="preserve">Other </t>
  </si>
  <si>
    <t>GRAND TOTAL</t>
  </si>
  <si>
    <t xml:space="preserve"> Regional Capacity Training</t>
  </si>
  <si>
    <t>Learning and Teaching Environment</t>
  </si>
  <si>
    <t>Regional Research Capacity Building</t>
  </si>
  <si>
    <t>Academic Partnership</t>
  </si>
  <si>
    <t>Industrial Partnership</t>
  </si>
  <si>
    <t>Governace and Administration</t>
  </si>
  <si>
    <t>Centre Visibility</t>
  </si>
  <si>
    <t>REGIONAL CENTRE FOR ENERGY AND ENVIRONMENTAL SUSTAINABILITY</t>
  </si>
  <si>
    <t>REGIONAL CENTER FOR ENERGY AND ENVIRONMENTAL SUSTAINABILITY</t>
  </si>
  <si>
    <t>1.0 REGIONAL CAPACITY TRAINING (MSc/PhD</t>
  </si>
  <si>
    <t>3.0 REGIONAL RESEARCH CAPACITY BUILDING</t>
  </si>
  <si>
    <t>Semi-Annual Period ending 30th June 2020</t>
  </si>
  <si>
    <t>Annex to IUFR: Notes on Expenditures</t>
  </si>
  <si>
    <t>AFRICA [FIRST] CENTERS OF EXCELLENCE FOR DEVELOPMENT
 IMPACT PROJECT (P164546)</t>
  </si>
  <si>
    <t>Director</t>
  </si>
  <si>
    <t>Dr. Eric Ofosu Antwi</t>
  </si>
  <si>
    <t>Financial Management Specialist</t>
  </si>
  <si>
    <r>
      <t xml:space="preserve">Stephen Yaw Ntiamoah, </t>
    </r>
    <r>
      <rPr>
        <b/>
        <sz val="10"/>
        <rFont val="Arial"/>
        <family val="2"/>
      </rPr>
      <t>CA, CPFA</t>
    </r>
  </si>
  <si>
    <t>for the semi-annual period ending 31st December, 2020</t>
  </si>
  <si>
    <t>Financial Year End (1st Jan.- 31st December 2020)</t>
  </si>
  <si>
    <t>Start of Project to Reporting date (2019- 31st December 2020)</t>
  </si>
  <si>
    <t>Semi-Annual Period ending 31st December 2020</t>
  </si>
  <si>
    <t>for the semi-annual period ending 31st December 2020</t>
  </si>
  <si>
    <t>The schedule below provide additional details on expenditures summarized in the Sources and Uses of Funds covering the period  July 2020 to 31st December 2020</t>
  </si>
  <si>
    <t>Payment to host a Bootcamp for Master &amp; PHD Programme</t>
  </si>
  <si>
    <t>Stipends for International students for the month of July 2020</t>
  </si>
  <si>
    <t>Imprest</t>
  </si>
  <si>
    <t>Payment to make submission at the Central Tender Review Committee</t>
  </si>
  <si>
    <t>Payment to attend a Meeting at Ministry of Energy</t>
  </si>
  <si>
    <t>Payment to drive Dr. Gyamfi to Accra for a meeting</t>
  </si>
  <si>
    <t>To pick Dr. Gyamfi from Kumasi &amp; RCEES staff to Accra</t>
  </si>
  <si>
    <t>To attend a meeting at Ministry of Energy</t>
  </si>
  <si>
    <t xml:space="preserve">Payment for consultancy to develop strategic Plan for RCEES </t>
  </si>
  <si>
    <t>Payment of Repairs for the centre's Printer and Photocopier</t>
  </si>
  <si>
    <t>Bootcamp On Post Graduate Programmes</t>
  </si>
  <si>
    <t>Special Advance for fuel for Bootcamp in Kumasi</t>
  </si>
  <si>
    <t>Drove Staff to Kumasi for Bootcamp</t>
  </si>
  <si>
    <t>Payment to Submit Proposal Documents</t>
  </si>
  <si>
    <t>Payment for taking RCEES Students through a short Course on Geospatial Modelling</t>
  </si>
  <si>
    <t>Payment for Four Day Teaching</t>
  </si>
  <si>
    <t>Payment to Rosewood Cottage for Bootcamp held by RCEES</t>
  </si>
  <si>
    <t>Special Advance for 2 Mtn Terbonet</t>
  </si>
  <si>
    <t xml:space="preserve"> Payment of Tax on PRECEVID </t>
  </si>
  <si>
    <t>Payment of With-holding tax for the month of July, 2020</t>
  </si>
  <si>
    <t xml:space="preserve"> Payment of Salaries to RCEES Staff for the month of July,2020</t>
  </si>
  <si>
    <t>Review of Msc and PHD Program</t>
  </si>
  <si>
    <t>Reimbursement of RCEES Imprest</t>
  </si>
  <si>
    <t>Payment for fuel to and From Kumasi and Internal Runs</t>
  </si>
  <si>
    <t>Payment For Training Course</t>
  </si>
  <si>
    <t>Payment for drivers per diem</t>
  </si>
  <si>
    <t>Special Advance for Permit Renewal</t>
  </si>
  <si>
    <t>Payment for withholding tax on payment</t>
  </si>
  <si>
    <t>Payment of IPC No1 Advance Payment of 20% for the construction of RCEES Building</t>
  </si>
  <si>
    <t>Payment of monthly Stipends</t>
  </si>
  <si>
    <t>Payment of Zoom- pro for student presentation and interviews</t>
  </si>
  <si>
    <t>Payment of salaries to RCEES staff for the month of August</t>
  </si>
  <si>
    <t>Payment of tax from RCEES salaries</t>
  </si>
  <si>
    <t>Payment for bootcamp on student selection interviews and thesis proposal presentations</t>
  </si>
  <si>
    <t>Payment for training of trainers-subtainable Energy Caters</t>
  </si>
  <si>
    <t>Payment of salaries to RCEES staff for the month of September</t>
  </si>
  <si>
    <t>Payment of tax on salaries to RCEES staff for the month of September</t>
  </si>
  <si>
    <t>Re-imbursement of imprest</t>
  </si>
  <si>
    <t>Special Advance for medical expenses</t>
  </si>
  <si>
    <t>Refund for fuel</t>
  </si>
  <si>
    <t>Payment of medical bills</t>
  </si>
  <si>
    <t>Payment for African Country of Excellence Bootcamp Workshop</t>
  </si>
  <si>
    <t>Special Advance for fuel</t>
  </si>
  <si>
    <t>Per diem to driver for sending Director to and from Accra</t>
  </si>
  <si>
    <t>Payment for fuel</t>
  </si>
  <si>
    <t>Special Advace for fuel</t>
  </si>
  <si>
    <t>Per diem to driver for taking RCEES staff to Kumasi for ACE workshop</t>
  </si>
  <si>
    <t>Payment to VC's driver to drive VC to kumasi for ACE Bootcamp workshop</t>
  </si>
  <si>
    <t>Payment of Monthly Stipends to International Students for the Month of October 2020</t>
  </si>
  <si>
    <t>Payment of salaries to RCEES staff for the month of October, 2020</t>
  </si>
  <si>
    <t>Payment of tax for services provided by Royal lamerta Hotel</t>
  </si>
  <si>
    <t>Specail Advance for fuel</t>
  </si>
  <si>
    <t>Refund for a resident permit</t>
  </si>
  <si>
    <t>Payment of monthly student stipends for the month of October 2020</t>
  </si>
  <si>
    <t>Payment for first tranche of research funds</t>
  </si>
  <si>
    <t>Payment of insurance cover for students on mandatory industral attachment</t>
  </si>
  <si>
    <t>Payment of student intenship support</t>
  </si>
  <si>
    <t>Being Payment for First Tranche of Research Funds</t>
  </si>
  <si>
    <t>Special Advance for steering committee and industral advisory board Meeting</t>
  </si>
  <si>
    <t>Special Advane for fuel</t>
  </si>
  <si>
    <t>Payment of monthly stipends Local Students</t>
  </si>
  <si>
    <t>Payment of salaries to RCEES staff for the month of November, 2020</t>
  </si>
  <si>
    <t>Payment of tax on salaries to RCEES staff for the month of November 2020</t>
  </si>
  <si>
    <t>Payment of salaries to RCEES staff for the month of  November 2020</t>
  </si>
  <si>
    <t>payment of Drivers Per diem</t>
  </si>
  <si>
    <t>Payment for tranche of research work</t>
  </si>
  <si>
    <t>Payment for industrial attachment visit</t>
  </si>
  <si>
    <t>Drove staff to and from Assim for industrial attachment visit</t>
  </si>
  <si>
    <t>Special Advance for fuel for industrial attachment monitoring</t>
  </si>
  <si>
    <t>Payment for industrial attachment  support</t>
  </si>
  <si>
    <t>Payment of salaries to RCEES staff for the month of December, 2020</t>
  </si>
  <si>
    <t>Payment of tax on salaries to RCEES staff for the month of December, 2020</t>
  </si>
  <si>
    <t>Payment of monthly stipends to local students for December, 2020</t>
  </si>
  <si>
    <t>Payment of monthly stipends to internationall students for December, 2020</t>
  </si>
  <si>
    <t>Drove RCEES staff for industrial attachment monitoring</t>
  </si>
  <si>
    <t>Payment of Monthly Stipends to International Students for the Month of November 2020</t>
  </si>
  <si>
    <t>Payment for services provided by Royal Lamerta Hotel</t>
  </si>
  <si>
    <t>Payment of tax on salaries to RCEES staff for the month of October, 2020</t>
  </si>
  <si>
    <t>Bank Charges</t>
  </si>
  <si>
    <t>Payment to Research Research Limited for subscriptions</t>
  </si>
  <si>
    <t>Payment for fuel to attend MIDA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</si>
</sst>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[$-40C]mmm\-yy;@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006100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rgb="FF7F7F7F"/>
      <name val="Calibri"/>
      <family val="2"/>
      <scheme val="minor"/>
    </font>
    <font>
      <sz val="11"/>
      <color theme="3"/>
      <name val="Cambria"/>
      <family val="2"/>
      <scheme val="major"/>
    </font>
    <font>
      <b/>
      <sz val="18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sz val="12"/>
      <name val="Times New Roman"/>
      <family val="1"/>
    </font>
    <font>
      <sz val="11"/>
      <color theme="1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13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9" fillId="0" borderId="0" applyNumberFormat="0" applyFill="0" applyBorder="0" applyAlignment="0" applyProtection="0"/>
    <xf numFmtId="0" fontId="14" fillId="0" borderId="32" applyNumberFormat="0" applyFill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7" fillId="10" borderId="34" applyNumberFormat="0" applyFon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167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2" fillId="7" borderId="0" applyNumberFormat="0" applyBorder="0" applyAlignment="0" applyProtection="0"/>
    <xf numFmtId="0" fontId="23" fillId="8" borderId="3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8" applyNumberFormat="0" applyFill="0" applyAlignment="0" applyProtection="0"/>
    <xf numFmtId="0" fontId="12" fillId="0" borderId="29" applyNumberFormat="0" applyFill="0" applyAlignment="0" applyProtection="0"/>
    <xf numFmtId="0" fontId="13" fillId="0" borderId="30" applyNumberFormat="0" applyFill="0" applyAlignment="0" applyProtection="0"/>
    <xf numFmtId="0" fontId="13" fillId="0" borderId="0" applyNumberFormat="0" applyFill="0" applyBorder="0" applyAlignment="0" applyProtection="0"/>
    <xf numFmtId="0" fontId="27" fillId="0" borderId="35" applyNumberFormat="0" applyFill="0" applyAlignment="0" applyProtection="0"/>
    <xf numFmtId="0" fontId="16" fillId="9" borderId="33" applyNumberFormat="0" applyAlignment="0" applyProtection="0"/>
    <xf numFmtId="165" fontId="2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2" borderId="11" xfId="0" applyFill="1" applyBorder="1"/>
    <xf numFmtId="0" fontId="0" fillId="2" borderId="5" xfId="0" applyFill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4" xfId="0" applyFont="1" applyBorder="1"/>
    <xf numFmtId="0" fontId="4" fillId="2" borderId="11" xfId="0" applyFont="1" applyFill="1" applyBorder="1"/>
    <xf numFmtId="0" fontId="4" fillId="0" borderId="17" xfId="0" applyFont="1" applyBorder="1"/>
    <xf numFmtId="0" fontId="8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0" fillId="0" borderId="8" xfId="0" applyNumberFormat="1" applyBorder="1"/>
    <xf numFmtId="43" fontId="0" fillId="0" borderId="6" xfId="0" applyNumberFormat="1" applyBorder="1"/>
    <xf numFmtId="0" fontId="4" fillId="0" borderId="18" xfId="0" applyFont="1" applyBorder="1"/>
    <xf numFmtId="0" fontId="4" fillId="0" borderId="22" xfId="0" applyFont="1" applyBorder="1" applyAlignment="1">
      <alignment horizontal="left"/>
    </xf>
    <xf numFmtId="43" fontId="4" fillId="0" borderId="19" xfId="0" applyNumberFormat="1" applyFont="1" applyBorder="1"/>
    <xf numFmtId="43" fontId="0" fillId="0" borderId="7" xfId="0" applyNumberFormat="1" applyBorder="1"/>
    <xf numFmtId="43" fontId="0" fillId="0" borderId="12" xfId="0" applyNumberFormat="1" applyBorder="1" applyAlignment="1">
      <alignment horizontal="right"/>
    </xf>
    <xf numFmtId="43" fontId="0" fillId="0" borderId="12" xfId="0" applyNumberFormat="1" applyBorder="1"/>
    <xf numFmtId="43" fontId="0" fillId="2" borderId="3" xfId="0" applyNumberFormat="1" applyFill="1" applyBorder="1"/>
    <xf numFmtId="43" fontId="0" fillId="0" borderId="6" xfId="0" applyNumberFormat="1" applyBorder="1" applyAlignment="1">
      <alignment horizontal="right"/>
    </xf>
    <xf numFmtId="43" fontId="4" fillId="0" borderId="12" xfId="1" applyNumberFormat="1" applyFont="1" applyBorder="1" applyAlignment="1">
      <alignment horizontal="right"/>
    </xf>
    <xf numFmtId="43" fontId="4" fillId="0" borderId="24" xfId="1" applyNumberFormat="1" applyFont="1" applyBorder="1"/>
    <xf numFmtId="43" fontId="4" fillId="0" borderId="12" xfId="1" applyNumberFormat="1" applyFont="1" applyBorder="1"/>
    <xf numFmtId="43" fontId="4" fillId="2" borderId="11" xfId="0" applyNumberFormat="1" applyFont="1" applyFill="1" applyBorder="1"/>
    <xf numFmtId="43" fontId="4" fillId="0" borderId="6" xfId="1" applyNumberFormat="1" applyFont="1" applyBorder="1"/>
    <xf numFmtId="0" fontId="3" fillId="0" borderId="2" xfId="0" applyFont="1" applyBorder="1"/>
    <xf numFmtId="43" fontId="4" fillId="0" borderId="12" xfId="0" applyNumberFormat="1" applyFont="1" applyBorder="1"/>
    <xf numFmtId="0" fontId="4" fillId="0" borderId="15" xfId="0" applyFont="1" applyBorder="1"/>
    <xf numFmtId="0" fontId="4" fillId="0" borderId="13" xfId="0" applyFont="1" applyBorder="1"/>
    <xf numFmtId="0" fontId="3" fillId="0" borderId="6" xfId="0" applyFont="1" applyBorder="1"/>
    <xf numFmtId="43" fontId="4" fillId="0" borderId="23" xfId="0" applyNumberFormat="1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2" xfId="0" applyFont="1" applyBorder="1" applyAlignment="1">
      <alignment horizontal="center" wrapText="1"/>
    </xf>
    <xf numFmtId="3" fontId="3" fillId="0" borderId="6" xfId="0" applyNumberFormat="1" applyFont="1" applyBorder="1"/>
    <xf numFmtId="0" fontId="3" fillId="0" borderId="0" xfId="0" applyFont="1" applyBorder="1"/>
    <xf numFmtId="43" fontId="4" fillId="0" borderId="6" xfId="0" applyNumberFormat="1" applyFont="1" applyBorder="1"/>
    <xf numFmtId="3" fontId="3" fillId="0" borderId="6" xfId="0" applyNumberFormat="1" applyFont="1" applyFill="1" applyBorder="1"/>
    <xf numFmtId="43" fontId="0" fillId="0" borderId="7" xfId="0" applyNumberFormat="1" applyBorder="1" applyAlignment="1">
      <alignment horizontal="right"/>
    </xf>
    <xf numFmtId="0" fontId="4" fillId="0" borderId="6" xfId="0" applyFont="1" applyBorder="1"/>
    <xf numFmtId="43" fontId="3" fillId="0" borderId="6" xfId="1" applyNumberFormat="1" applyFont="1" applyBorder="1"/>
    <xf numFmtId="0" fontId="4" fillId="0" borderId="26" xfId="0" applyFont="1" applyBorder="1"/>
    <xf numFmtId="43" fontId="4" fillId="0" borderId="27" xfId="1" applyNumberFormat="1" applyFont="1" applyBorder="1"/>
    <xf numFmtId="43" fontId="3" fillId="0" borderId="6" xfId="0" applyNumberFormat="1" applyFont="1" applyBorder="1"/>
    <xf numFmtId="43" fontId="4" fillId="0" borderId="19" xfId="1" applyNumberFormat="1" applyFont="1" applyBorder="1"/>
    <xf numFmtId="0" fontId="4" fillId="0" borderId="6" xfId="0" applyFont="1" applyFill="1" applyBorder="1"/>
    <xf numFmtId="43" fontId="0" fillId="3" borderId="6" xfId="0" applyNumberFormat="1" applyFill="1" applyBorder="1"/>
    <xf numFmtId="43" fontId="4" fillId="0" borderId="19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0" fontId="0" fillId="5" borderId="6" xfId="0" applyFill="1" applyBorder="1"/>
    <xf numFmtId="43" fontId="0" fillId="5" borderId="6" xfId="0" applyNumberFormat="1" applyFill="1" applyBorder="1"/>
    <xf numFmtId="43" fontId="0" fillId="5" borderId="0" xfId="0" applyNumberFormat="1" applyFill="1" applyBorder="1"/>
    <xf numFmtId="0" fontId="6" fillId="3" borderId="0" xfId="0" applyFont="1" applyFill="1"/>
    <xf numFmtId="0" fontId="0" fillId="3" borderId="0" xfId="0" applyFill="1"/>
    <xf numFmtId="0" fontId="6" fillId="3" borderId="16" xfId="0" applyFont="1" applyFill="1" applyBorder="1"/>
    <xf numFmtId="0" fontId="0" fillId="3" borderId="16" xfId="0" applyFill="1" applyBorder="1"/>
    <xf numFmtId="0" fontId="3" fillId="3" borderId="0" xfId="0" applyFont="1" applyFill="1"/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6" xfId="0" applyFont="1" applyFill="1" applyBorder="1" applyAlignment="1">
      <alignment horizontal="left"/>
    </xf>
    <xf numFmtId="0" fontId="0" fillId="3" borderId="6" xfId="0" applyFill="1" applyBorder="1"/>
    <xf numFmtId="0" fontId="3" fillId="3" borderId="6" xfId="0" applyFont="1" applyFill="1" applyBorder="1"/>
    <xf numFmtId="43" fontId="0" fillId="3" borderId="6" xfId="1" applyNumberFormat="1" applyFont="1" applyFill="1" applyBorder="1"/>
    <xf numFmtId="0" fontId="4" fillId="3" borderId="6" xfId="0" applyFont="1" applyFill="1" applyBorder="1"/>
    <xf numFmtId="43" fontId="4" fillId="3" borderId="6" xfId="1" applyNumberFormat="1" applyFont="1" applyFill="1" applyBorder="1" applyAlignment="1">
      <alignment horizontal="right"/>
    </xf>
    <xf numFmtId="43" fontId="4" fillId="3" borderId="6" xfId="0" applyNumberFormat="1" applyFont="1" applyFill="1" applyBorder="1"/>
    <xf numFmtId="43" fontId="4" fillId="3" borderId="6" xfId="1" applyNumberFormat="1" applyFont="1" applyFill="1" applyBorder="1"/>
    <xf numFmtId="43" fontId="3" fillId="3" borderId="6" xfId="1" applyNumberFormat="1" applyFont="1" applyFill="1" applyBorder="1"/>
    <xf numFmtId="0" fontId="0" fillId="0" borderId="18" xfId="0" applyFill="1" applyBorder="1"/>
    <xf numFmtId="0" fontId="3" fillId="0" borderId="18" xfId="0" applyFont="1" applyBorder="1"/>
    <xf numFmtId="0" fontId="3" fillId="0" borderId="8" xfId="0" applyFont="1" applyFill="1" applyBorder="1"/>
    <xf numFmtId="0" fontId="4" fillId="6" borderId="6" xfId="0" applyFont="1" applyFill="1" applyBorder="1"/>
    <xf numFmtId="0" fontId="0" fillId="6" borderId="6" xfId="0" applyFill="1" applyBorder="1"/>
    <xf numFmtId="0" fontId="4" fillId="6" borderId="7" xfId="0" applyFont="1" applyFill="1" applyBorder="1"/>
    <xf numFmtId="43" fontId="4" fillId="6" borderId="6" xfId="0" applyNumberFormat="1" applyFont="1" applyFill="1" applyBorder="1"/>
    <xf numFmtId="0" fontId="10" fillId="6" borderId="6" xfId="0" applyFont="1" applyFill="1" applyBorder="1"/>
    <xf numFmtId="43" fontId="11" fillId="6" borderId="6" xfId="0" applyNumberFormat="1" applyFont="1" applyFill="1" applyBorder="1"/>
    <xf numFmtId="165" fontId="0" fillId="0" borderId="0" xfId="0" applyNumberFormat="1"/>
    <xf numFmtId="0" fontId="30" fillId="0" borderId="0" xfId="0" applyFont="1"/>
    <xf numFmtId="0" fontId="31" fillId="0" borderId="0" xfId="0" applyFont="1"/>
    <xf numFmtId="3" fontId="31" fillId="0" borderId="0" xfId="0" applyNumberFormat="1" applyFont="1" applyBorder="1"/>
    <xf numFmtId="0" fontId="30" fillId="0" borderId="0" xfId="0" applyFont="1" applyBorder="1"/>
    <xf numFmtId="3" fontId="32" fillId="36" borderId="0" xfId="0" applyNumberFormat="1" applyFont="1" applyFill="1" applyAlignment="1">
      <alignment horizontal="left" vertical="top" wrapText="1"/>
    </xf>
    <xf numFmtId="3" fontId="31" fillId="0" borderId="0" xfId="0" applyNumberFormat="1" applyFont="1"/>
    <xf numFmtId="0" fontId="33" fillId="0" borderId="0" xfId="0" applyFont="1"/>
    <xf numFmtId="3" fontId="31" fillId="0" borderId="0" xfId="0" applyNumberFormat="1" applyFont="1" applyAlignment="1">
      <alignment horizontal="right"/>
    </xf>
    <xf numFmtId="0" fontId="31" fillId="0" borderId="0" xfId="0" applyFont="1" applyFill="1"/>
    <xf numFmtId="3" fontId="31" fillId="0" borderId="0" xfId="0" applyNumberFormat="1" applyFont="1" applyFill="1" applyBorder="1"/>
    <xf numFmtId="43" fontId="30" fillId="0" borderId="36" xfId="1" applyFont="1" applyBorder="1"/>
    <xf numFmtId="43" fontId="31" fillId="0" borderId="0" xfId="1" applyFont="1" applyAlignment="1">
      <alignment horizontal="right"/>
    </xf>
    <xf numFmtId="43" fontId="31" fillId="0" borderId="36" xfId="1" applyFont="1" applyBorder="1" applyAlignment="1">
      <alignment horizontal="right"/>
    </xf>
    <xf numFmtId="43" fontId="31" fillId="0" borderId="36" xfId="1" applyFont="1" applyBorder="1"/>
    <xf numFmtId="43" fontId="31" fillId="0" borderId="0" xfId="1" applyFont="1"/>
    <xf numFmtId="43" fontId="31" fillId="0" borderId="0" xfId="1" applyFont="1" applyBorder="1"/>
    <xf numFmtId="43" fontId="30" fillId="0" borderId="0" xfId="1" applyFont="1"/>
    <xf numFmtId="43" fontId="30" fillId="0" borderId="0" xfId="1" applyFont="1" applyBorder="1"/>
    <xf numFmtId="43" fontId="30" fillId="0" borderId="0" xfId="1" applyFont="1" applyAlignment="1">
      <alignment horizontal="right"/>
    </xf>
    <xf numFmtId="43" fontId="31" fillId="0" borderId="36" xfId="1" applyFont="1" applyFill="1" applyBorder="1"/>
    <xf numFmtId="165" fontId="0" fillId="0" borderId="6" xfId="0" applyNumberFormat="1" applyBorder="1"/>
    <xf numFmtId="43" fontId="0" fillId="2" borderId="0" xfId="0" applyNumberFormat="1" applyFill="1" applyBorder="1"/>
    <xf numFmtId="43" fontId="0" fillId="0" borderId="25" xfId="0" applyNumberFormat="1" applyBorder="1"/>
    <xf numFmtId="43" fontId="4" fillId="0" borderId="15" xfId="0" applyNumberFormat="1" applyFont="1" applyBorder="1"/>
    <xf numFmtId="0" fontId="0" fillId="2" borderId="4" xfId="0" applyFill="1" applyBorder="1"/>
    <xf numFmtId="43" fontId="4" fillId="6" borderId="25" xfId="0" applyNumberFormat="1" applyFont="1" applyFill="1" applyBorder="1"/>
    <xf numFmtId="0" fontId="0" fillId="0" borderId="7" xfId="0" applyBorder="1"/>
    <xf numFmtId="0" fontId="0" fillId="0" borderId="18" xfId="0" applyBorder="1" applyAlignment="1">
      <alignment horizontal="center" wrapText="1"/>
    </xf>
    <xf numFmtId="43" fontId="0" fillId="0" borderId="15" xfId="0" applyNumberFormat="1" applyBorder="1"/>
    <xf numFmtId="165" fontId="0" fillId="0" borderId="22" xfId="0" applyNumberFormat="1" applyBorder="1"/>
    <xf numFmtId="165" fontId="4" fillId="0" borderId="22" xfId="0" applyNumberFormat="1" applyFont="1" applyBorder="1"/>
    <xf numFmtId="43" fontId="4" fillId="0" borderId="7" xfId="0" applyNumberFormat="1" applyFont="1" applyBorder="1"/>
    <xf numFmtId="43" fontId="4" fillId="0" borderId="22" xfId="0" applyNumberFormat="1" applyFont="1" applyBorder="1"/>
    <xf numFmtId="165" fontId="4" fillId="0" borderId="7" xfId="0" applyNumberFormat="1" applyFont="1" applyBorder="1"/>
    <xf numFmtId="0" fontId="34" fillId="4" borderId="8" xfId="0" applyFont="1" applyFill="1" applyBorder="1"/>
    <xf numFmtId="43" fontId="35" fillId="4" borderId="6" xfId="0" applyNumberFormat="1" applyFont="1" applyFill="1" applyBorder="1"/>
    <xf numFmtId="165" fontId="35" fillId="4" borderId="6" xfId="0" applyNumberFormat="1" applyFont="1" applyFill="1" applyBorder="1"/>
    <xf numFmtId="0" fontId="3" fillId="0" borderId="18" xfId="0" applyFont="1" applyBorder="1" applyAlignment="1">
      <alignment horizontal="center" wrapText="1"/>
    </xf>
    <xf numFmtId="43" fontId="30" fillId="0" borderId="0" xfId="0" applyNumberFormat="1" applyFont="1"/>
    <xf numFmtId="0" fontId="4" fillId="0" borderId="2" xfId="0" applyFont="1" applyBorder="1" applyAlignment="1">
      <alignment horizontal="center"/>
    </xf>
    <xf numFmtId="43" fontId="36" fillId="0" borderId="6" xfId="1" applyFont="1" applyBorder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43" fontId="3" fillId="0" borderId="6" xfId="1" applyFont="1" applyBorder="1"/>
    <xf numFmtId="0" fontId="3" fillId="0" borderId="25" xfId="0" applyFont="1" applyBorder="1"/>
    <xf numFmtId="3" fontId="3" fillId="0" borderId="0" xfId="0" applyNumberFormat="1" applyFont="1" applyBorder="1"/>
    <xf numFmtId="43" fontId="3" fillId="0" borderId="18" xfId="0" applyNumberFormat="1" applyFont="1" applyBorder="1"/>
    <xf numFmtId="0" fontId="3" fillId="0" borderId="19" xfId="0" applyFont="1" applyBorder="1"/>
    <xf numFmtId="0" fontId="3" fillId="2" borderId="11" xfId="0" applyFont="1" applyFill="1" applyBorder="1"/>
    <xf numFmtId="43" fontId="3" fillId="2" borderId="3" xfId="0" applyNumberFormat="1" applyFont="1" applyFill="1" applyBorder="1"/>
    <xf numFmtId="0" fontId="3" fillId="2" borderId="3" xfId="0" applyFont="1" applyFill="1" applyBorder="1"/>
    <xf numFmtId="43" fontId="3" fillId="0" borderId="7" xfId="0" applyNumberFormat="1" applyFont="1" applyBorder="1"/>
    <xf numFmtId="43" fontId="3" fillId="2" borderId="6" xfId="0" applyNumberFormat="1" applyFont="1" applyFill="1" applyBorder="1"/>
    <xf numFmtId="0" fontId="3" fillId="2" borderId="6" xfId="0" applyFont="1" applyFill="1" applyBorder="1"/>
    <xf numFmtId="43" fontId="3" fillId="0" borderId="18" xfId="0" applyNumberFormat="1" applyFont="1" applyFill="1" applyBorder="1"/>
    <xf numFmtId="43" fontId="3" fillId="0" borderId="3" xfId="0" applyNumberFormat="1" applyFont="1" applyFill="1" applyBorder="1"/>
    <xf numFmtId="43" fontId="3" fillId="0" borderId="6" xfId="0" applyNumberFormat="1" applyFont="1" applyFill="1" applyBorder="1"/>
    <xf numFmtId="0" fontId="3" fillId="0" borderId="6" xfId="0" applyFont="1" applyFill="1" applyBorder="1"/>
    <xf numFmtId="43" fontId="3" fillId="0" borderId="6" xfId="1" applyNumberFormat="1" applyFont="1" applyFill="1" applyBorder="1"/>
    <xf numFmtId="43" fontId="3" fillId="0" borderId="12" xfId="0" applyNumberFormat="1" applyFont="1" applyBorder="1"/>
    <xf numFmtId="0" fontId="3" fillId="0" borderId="15" xfId="0" applyFont="1" applyBorder="1"/>
    <xf numFmtId="0" fontId="3" fillId="0" borderId="13" xfId="0" applyFont="1" applyBorder="1"/>
    <xf numFmtId="0" fontId="37" fillId="0" borderId="6" xfId="0" applyFont="1" applyFill="1" applyBorder="1" applyAlignment="1"/>
    <xf numFmtId="43" fontId="37" fillId="0" borderId="6" xfId="1" applyFont="1" applyBorder="1" applyAlignment="1"/>
    <xf numFmtId="43" fontId="37" fillId="0" borderId="6" xfId="1" applyFont="1" applyFill="1" applyBorder="1" applyAlignment="1"/>
    <xf numFmtId="43" fontId="3" fillId="0" borderId="19" xfId="0" applyNumberFormat="1" applyFont="1" applyBorder="1"/>
    <xf numFmtId="0" fontId="3" fillId="0" borderId="21" xfId="0" applyFont="1" applyBorder="1"/>
    <xf numFmtId="0" fontId="3" fillId="0" borderId="12" xfId="0" applyFont="1" applyBorder="1"/>
    <xf numFmtId="43" fontId="4" fillId="0" borderId="6" xfId="1" applyNumberFormat="1" applyFont="1" applyFill="1" applyBorder="1"/>
    <xf numFmtId="0" fontId="3" fillId="0" borderId="0" xfId="0" applyFont="1" applyFill="1"/>
    <xf numFmtId="43" fontId="31" fillId="0" borderId="0" xfId="0" applyNumberFormat="1" applyFont="1"/>
    <xf numFmtId="43" fontId="39" fillId="0" borderId="0" xfId="1" applyFont="1" applyFill="1" applyAlignment="1">
      <alignment horizontal="left"/>
    </xf>
    <xf numFmtId="43" fontId="39" fillId="0" borderId="6" xfId="1" applyFont="1" applyFill="1" applyBorder="1" applyAlignment="1">
      <alignment horizontal="left"/>
    </xf>
    <xf numFmtId="43" fontId="36" fillId="0" borderId="6" xfId="1" applyFont="1" applyFill="1" applyBorder="1" applyAlignment="1">
      <alignment horizontal="left"/>
    </xf>
    <xf numFmtId="43" fontId="4" fillId="0" borderId="7" xfId="1" applyNumberFormat="1" applyFont="1" applyBorder="1"/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1" fillId="36" borderId="0" xfId="0" applyFont="1" applyFill="1" applyAlignment="1">
      <alignment horizontal="left"/>
    </xf>
    <xf numFmtId="0" fontId="31" fillId="36" borderId="0" xfId="0" applyFont="1" applyFill="1" applyAlignment="1">
      <alignment horizontal="left" vertical="top"/>
    </xf>
    <xf numFmtId="0" fontId="29" fillId="35" borderId="0" xfId="0" applyFont="1" applyFill="1" applyAlignment="1">
      <alignment horizontal="center"/>
    </xf>
    <xf numFmtId="0" fontId="31" fillId="0" borderId="0" xfId="0" applyFont="1" applyAlignment="1">
      <alignment horizontal="left" wrapText="1"/>
    </xf>
    <xf numFmtId="43" fontId="36" fillId="0" borderId="0" xfId="1" applyFont="1" applyFill="1" applyAlignment="1">
      <alignment horizontal="left"/>
    </xf>
  </cellXfs>
  <cellStyles count="134">
    <cellStyle name="20 % - Accent1 2" xfId="6"/>
    <cellStyle name="20 % - Accent2 2" xfId="7"/>
    <cellStyle name="20 % - Accent3 2" xfId="8"/>
    <cellStyle name="20 % - Accent4 2" xfId="9"/>
    <cellStyle name="20 % - Accent5 2" xfId="10"/>
    <cellStyle name="20 % - Accent6 2" xfId="11"/>
    <cellStyle name="40 % - Accent1 2" xfId="12"/>
    <cellStyle name="40 % - Accent2 2" xfId="13"/>
    <cellStyle name="40 % - Accent3 2" xfId="14"/>
    <cellStyle name="40 % - Accent4 2" xfId="15"/>
    <cellStyle name="40 % - Accent5 2" xfId="16"/>
    <cellStyle name="40 % - Accent6 2" xfId="17"/>
    <cellStyle name="60 % - Accent1 2" xfId="18"/>
    <cellStyle name="60 % - Accent2 2" xfId="19"/>
    <cellStyle name="60 % - Accent3 2" xfId="20"/>
    <cellStyle name="60 % - Accent4 2" xfId="21"/>
    <cellStyle name="60 % - Accent5 2" xfId="22"/>
    <cellStyle name="60 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Avertissement 2" xfId="30"/>
    <cellStyle name="Cellule liée 2" xfId="31"/>
    <cellStyle name="Comma" xfId="1" builtinId="3"/>
    <cellStyle name="Comma 2" xfId="128"/>
    <cellStyle name="Comma 3" xfId="130"/>
    <cellStyle name="Comma 4" xfId="133"/>
    <cellStyle name="Commentaire 2" xfId="32"/>
    <cellStyle name="Commentaire 3" xfId="33"/>
    <cellStyle name="Commentaire 4" xfId="34"/>
    <cellStyle name="Commentaire 5" xfId="35"/>
    <cellStyle name="Commentaire 6" xfId="36"/>
    <cellStyle name="Currency 2" xfId="3"/>
    <cellStyle name="Currency 3" xfId="131"/>
    <cellStyle name="Euro" xfId="37"/>
    <cellStyle name="Euro 10" xfId="38"/>
    <cellStyle name="Euro 11" xfId="39"/>
    <cellStyle name="Euro 12" xfId="40"/>
    <cellStyle name="Euro 13" xfId="41"/>
    <cellStyle name="Euro 13 2" xfId="42"/>
    <cellStyle name="Euro 14" xfId="43"/>
    <cellStyle name="Euro 15" xfId="44"/>
    <cellStyle name="Euro 16" xfId="45"/>
    <cellStyle name="Euro 17" xfId="46"/>
    <cellStyle name="Euro 2" xfId="47"/>
    <cellStyle name="Euro 2 2" xfId="48"/>
    <cellStyle name="Euro 3" xfId="49"/>
    <cellStyle name="Euro 3 2" xfId="50"/>
    <cellStyle name="Euro 4" xfId="51"/>
    <cellStyle name="Euro 4 2" xfId="52"/>
    <cellStyle name="Euro 5" xfId="53"/>
    <cellStyle name="Euro 6" xfId="54"/>
    <cellStyle name="Euro 6 2" xfId="55"/>
    <cellStyle name="Euro 7" xfId="56"/>
    <cellStyle name="Euro 8" xfId="57"/>
    <cellStyle name="Euro 9" xfId="58"/>
    <cellStyle name="Lien hypertexte 2" xfId="59"/>
    <cellStyle name="Lien hypertexte 2 2" xfId="60"/>
    <cellStyle name="Lien hypertexte 2 3 2" xfId="61"/>
    <cellStyle name="Lien hypertexte 3" xfId="62"/>
    <cellStyle name="Normal" xfId="0" builtinId="0"/>
    <cellStyle name="Normal 10" xfId="63"/>
    <cellStyle name="Normal 11" xfId="129"/>
    <cellStyle name="Normal 11 2" xfId="64"/>
    <cellStyle name="Normal 12" xfId="65"/>
    <cellStyle name="Normal 13" xfId="132"/>
    <cellStyle name="Normal 14" xfId="66"/>
    <cellStyle name="Normal 14 2" xfId="67"/>
    <cellStyle name="Normal 15" xfId="68"/>
    <cellStyle name="Normal 16" xfId="69"/>
    <cellStyle name="Normal 16 2" xfId="70"/>
    <cellStyle name="Normal 19" xfId="71"/>
    <cellStyle name="Normal 2" xfId="2"/>
    <cellStyle name="Normal 2 10" xfId="72"/>
    <cellStyle name="Normal 2 2" xfId="73"/>
    <cellStyle name="Normal 2 3" xfId="74"/>
    <cellStyle name="Normal 2 4" xfId="75"/>
    <cellStyle name="Normal 2 5" xfId="76"/>
    <cellStyle name="Normal 2 6" xfId="77"/>
    <cellStyle name="Normal 2 7" xfId="78"/>
    <cellStyle name="Normal 2 8" xfId="79"/>
    <cellStyle name="Normal 2 9" xfId="80"/>
    <cellStyle name="Normal 3" xfId="81"/>
    <cellStyle name="Normal 3 2" xfId="82"/>
    <cellStyle name="Normal 3 3" xfId="83"/>
    <cellStyle name="Normal 3 4" xfId="84"/>
    <cellStyle name="Normal 3 5" xfId="85"/>
    <cellStyle name="Normal 3 6" xfId="86"/>
    <cellStyle name="Normal 3 7" xfId="87"/>
    <cellStyle name="Normal 3 8" xfId="88"/>
    <cellStyle name="Normal 32" xfId="89"/>
    <cellStyle name="Normal 4" xfId="90"/>
    <cellStyle name="Normal 4 2" xfId="91"/>
    <cellStyle name="Normal 4 2 2" xfId="92"/>
    <cellStyle name="Normal 4 3" xfId="93"/>
    <cellStyle name="Normal 4 4" xfId="94"/>
    <cellStyle name="Normal 4 5" xfId="95"/>
    <cellStyle name="Normal 4 6" xfId="96"/>
    <cellStyle name="Normal 4 7" xfId="97"/>
    <cellStyle name="Normal 4 8" xfId="98"/>
    <cellStyle name="Normal 5" xfId="99"/>
    <cellStyle name="Normal 5 2" xfId="100"/>
    <cellStyle name="Normal 5 3" xfId="101"/>
    <cellStyle name="Normal 5 4" xfId="102"/>
    <cellStyle name="Normal 5 5" xfId="103"/>
    <cellStyle name="Normal 5 6" xfId="104"/>
    <cellStyle name="Normal 5 7" xfId="105"/>
    <cellStyle name="Normal 5 8" xfId="106"/>
    <cellStyle name="Normal 6" xfId="107"/>
    <cellStyle name="Normal 6 2" xfId="108"/>
    <cellStyle name="Normal 6 3" xfId="109"/>
    <cellStyle name="Normal 6 4" xfId="110"/>
    <cellStyle name="Normal 63" xfId="111"/>
    <cellStyle name="Normal 66" xfId="112"/>
    <cellStyle name="Normal 7" xfId="113"/>
    <cellStyle name="Normal 7 2" xfId="114"/>
    <cellStyle name="Normal 7 3" xfId="115"/>
    <cellStyle name="Normal 8" xfId="116"/>
    <cellStyle name="Normal 9" xfId="5"/>
    <cellStyle name="Normal 9 2" xfId="117"/>
    <cellStyle name="Percent 2" xfId="4"/>
    <cellStyle name="Satisfaisant 2" xfId="118"/>
    <cellStyle name="Sortie 2" xfId="119"/>
    <cellStyle name="Texte explicatif 2" xfId="120"/>
    <cellStyle name="Titre 2" xfId="121"/>
    <cellStyle name="Titre 1 2" xfId="122"/>
    <cellStyle name="Titre 2 2" xfId="123"/>
    <cellStyle name="Titre 3 2" xfId="124"/>
    <cellStyle name="Titre 4 2" xfId="125"/>
    <cellStyle name="Total 2" xfId="126"/>
    <cellStyle name="Vérification 2" xfId="127"/>
  </cellStyles>
  <dxfs count="0"/>
  <tableStyles count="0" defaultTableStyle="TableStyleMedium9" defaultPivotStyle="PivotStyleLight16"/>
  <colors>
    <mruColors>
      <color rgb="FF80008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5"/>
  <sheetViews>
    <sheetView topLeftCell="C1" workbookViewId="0">
      <selection activeCell="D16" sqref="D16"/>
    </sheetView>
  </sheetViews>
  <sheetFormatPr defaultRowHeight="12.75" x14ac:dyDescent="0.2"/>
  <cols>
    <col min="3" max="3" width="59.85546875" customWidth="1"/>
    <col min="4" max="4" width="22.5703125" customWidth="1"/>
    <col min="5" max="5" width="27" customWidth="1"/>
    <col min="6" max="6" width="28" customWidth="1"/>
    <col min="8" max="8" width="10.28515625" bestFit="1" customWidth="1"/>
  </cols>
  <sheetData>
    <row r="1" spans="3:14" x14ac:dyDescent="0.2">
      <c r="C1" s="195" t="s">
        <v>76</v>
      </c>
      <c r="D1" s="196"/>
      <c r="E1" s="196"/>
      <c r="F1" s="197"/>
    </row>
    <row r="2" spans="3:14" ht="15.75" x14ac:dyDescent="0.25">
      <c r="C2" s="198" t="s">
        <v>82</v>
      </c>
      <c r="D2" s="199"/>
      <c r="E2" s="199"/>
      <c r="F2" s="200"/>
      <c r="H2" s="193"/>
      <c r="I2" s="193"/>
      <c r="J2" s="193"/>
      <c r="K2" s="193"/>
      <c r="L2" s="193"/>
      <c r="M2" s="193"/>
      <c r="N2" s="193"/>
    </row>
    <row r="3" spans="3:14" ht="15.75" x14ac:dyDescent="0.25">
      <c r="C3" s="195" t="s">
        <v>22</v>
      </c>
      <c r="D3" s="196"/>
      <c r="E3" s="196"/>
      <c r="F3" s="197"/>
      <c r="H3" s="194"/>
      <c r="I3" s="193"/>
      <c r="J3" s="193"/>
      <c r="K3" s="193"/>
      <c r="L3" s="193"/>
      <c r="M3" s="193"/>
      <c r="N3" s="193"/>
    </row>
    <row r="4" spans="3:14" x14ac:dyDescent="0.2">
      <c r="C4" s="190" t="s">
        <v>87</v>
      </c>
      <c r="D4" s="191"/>
      <c r="E4" s="191"/>
      <c r="F4" s="192"/>
    </row>
    <row r="7" spans="3:14" x14ac:dyDescent="0.2">
      <c r="C7" s="2"/>
      <c r="D7" s="2"/>
      <c r="E7" s="24"/>
      <c r="F7" s="24"/>
      <c r="G7" s="1"/>
    </row>
    <row r="8" spans="3:14" x14ac:dyDescent="0.2">
      <c r="C8" s="6"/>
      <c r="D8" s="6"/>
      <c r="E8" s="25" t="s">
        <v>21</v>
      </c>
      <c r="F8" s="25" t="s">
        <v>20</v>
      </c>
      <c r="G8" s="1"/>
    </row>
    <row r="9" spans="3:14" ht="38.25" x14ac:dyDescent="0.2">
      <c r="C9" s="16" t="s">
        <v>2</v>
      </c>
      <c r="D9" s="50" t="s">
        <v>90</v>
      </c>
      <c r="E9" s="136" t="s">
        <v>88</v>
      </c>
      <c r="F9" s="146" t="s">
        <v>89</v>
      </c>
      <c r="G9" s="1"/>
    </row>
    <row r="10" spans="3:14" x14ac:dyDescent="0.2">
      <c r="C10" s="13"/>
      <c r="D10" s="13"/>
      <c r="E10" s="26"/>
      <c r="F10" s="25"/>
      <c r="G10" s="1"/>
    </row>
    <row r="11" spans="3:14" x14ac:dyDescent="0.2">
      <c r="C11" s="9"/>
      <c r="D11" s="9"/>
      <c r="E11" s="8"/>
      <c r="F11" s="8"/>
    </row>
    <row r="12" spans="3:14" x14ac:dyDescent="0.2">
      <c r="C12" s="15" t="s">
        <v>3</v>
      </c>
      <c r="D12" s="27"/>
      <c r="E12" s="27"/>
      <c r="F12" s="7"/>
    </row>
    <row r="13" spans="3:14" x14ac:dyDescent="0.2">
      <c r="C13" s="3"/>
      <c r="D13" s="28"/>
      <c r="E13" s="28"/>
      <c r="F13" s="7"/>
    </row>
    <row r="14" spans="3:14" x14ac:dyDescent="0.2">
      <c r="C14" s="20" t="s">
        <v>27</v>
      </c>
      <c r="D14" s="28"/>
      <c r="E14" s="28"/>
      <c r="F14" s="7"/>
    </row>
    <row r="15" spans="3:14" x14ac:dyDescent="0.2">
      <c r="C15" s="3" t="s">
        <v>23</v>
      </c>
      <c r="D15" s="32">
        <v>40792.89</v>
      </c>
      <c r="E15" s="32">
        <f>1406744.35+D15</f>
        <v>1447537.24</v>
      </c>
      <c r="F15" s="129">
        <f>E15</f>
        <v>1447537.24</v>
      </c>
    </row>
    <row r="16" spans="3:14" ht="13.5" thickBot="1" x14ac:dyDescent="0.25">
      <c r="C16" s="3" t="s">
        <v>10</v>
      </c>
      <c r="D16" s="32"/>
      <c r="E16" s="32"/>
      <c r="F16" s="135"/>
    </row>
    <row r="17" spans="3:6" ht="13.5" thickBot="1" x14ac:dyDescent="0.25">
      <c r="C17" s="17" t="s">
        <v>0</v>
      </c>
      <c r="D17" s="33">
        <f>SUM(D12:D16)</f>
        <v>40792.89</v>
      </c>
      <c r="E17" s="137">
        <f>SUM(E12:E16)</f>
        <v>1447537.24</v>
      </c>
      <c r="F17" s="138">
        <f>F15</f>
        <v>1447537.24</v>
      </c>
    </row>
    <row r="18" spans="3:6" x14ac:dyDescent="0.2">
      <c r="C18" s="10"/>
      <c r="D18" s="35"/>
      <c r="E18" s="35"/>
      <c r="F18" s="130"/>
    </row>
    <row r="19" spans="3:6" x14ac:dyDescent="0.2">
      <c r="C19" s="15" t="s">
        <v>4</v>
      </c>
      <c r="D19" s="28"/>
      <c r="E19" s="28"/>
      <c r="F19" s="7"/>
    </row>
    <row r="20" spans="3:6" x14ac:dyDescent="0.2">
      <c r="C20" s="20" t="s">
        <v>27</v>
      </c>
      <c r="D20" s="28"/>
      <c r="E20" s="28"/>
      <c r="F20" s="7"/>
    </row>
    <row r="21" spans="3:6" x14ac:dyDescent="0.2">
      <c r="C21" s="3" t="s">
        <v>23</v>
      </c>
      <c r="D21" s="28"/>
      <c r="E21" s="28"/>
      <c r="F21" s="131"/>
    </row>
    <row r="22" spans="3:6" ht="13.5" thickBot="1" x14ac:dyDescent="0.25">
      <c r="C22" s="3" t="s">
        <v>10</v>
      </c>
      <c r="D22" s="32"/>
      <c r="E22" s="32"/>
      <c r="F22" s="135"/>
    </row>
    <row r="23" spans="3:6" ht="13.5" thickBot="1" x14ac:dyDescent="0.25">
      <c r="C23" s="17" t="s">
        <v>5</v>
      </c>
      <c r="D23" s="34">
        <f>SUM(D17:D22)</f>
        <v>40792.89</v>
      </c>
      <c r="E23" s="137">
        <f>SUM(E17:E22)</f>
        <v>1447537.24</v>
      </c>
      <c r="F23" s="139">
        <f>F15+F21</f>
        <v>1447537.24</v>
      </c>
    </row>
    <row r="24" spans="3:6" x14ac:dyDescent="0.2">
      <c r="C24" s="18"/>
      <c r="D24" s="35"/>
      <c r="E24" s="35"/>
      <c r="F24" s="130"/>
    </row>
    <row r="25" spans="3:6" x14ac:dyDescent="0.2">
      <c r="C25" s="15" t="s">
        <v>26</v>
      </c>
      <c r="D25" s="28"/>
      <c r="E25" s="28"/>
      <c r="F25" s="7"/>
    </row>
    <row r="26" spans="3:6" x14ac:dyDescent="0.2">
      <c r="C26" s="3"/>
      <c r="D26" s="28"/>
      <c r="E26" s="28"/>
      <c r="F26" s="7"/>
    </row>
    <row r="27" spans="3:6" x14ac:dyDescent="0.2">
      <c r="C27" s="42" t="s">
        <v>69</v>
      </c>
      <c r="D27" s="28">
        <f>'uses of fund by component'!C66</f>
        <v>36733.57543859649</v>
      </c>
      <c r="E27" s="28">
        <f>218033.237657343+D27</f>
        <v>254766.81309593949</v>
      </c>
      <c r="F27" s="129">
        <f>E27</f>
        <v>254766.81309593949</v>
      </c>
    </row>
    <row r="28" spans="3:6" x14ac:dyDescent="0.2">
      <c r="C28" s="42" t="s">
        <v>70</v>
      </c>
      <c r="D28" s="28">
        <f>'uses of fund by component'!C75</f>
        <v>413119.18421052629</v>
      </c>
      <c r="E28" s="28">
        <f>56202.1958041958+D28</f>
        <v>469321.38001472212</v>
      </c>
      <c r="F28" s="129">
        <f t="shared" ref="F28:F33" si="0">E28</f>
        <v>469321.38001472212</v>
      </c>
    </row>
    <row r="29" spans="3:6" x14ac:dyDescent="0.2">
      <c r="C29" s="42" t="s">
        <v>71</v>
      </c>
      <c r="D29" s="28">
        <f>'uses of fund by component'!C113</f>
        <v>45317.243859649119</v>
      </c>
      <c r="E29" s="28">
        <f>D29</f>
        <v>45317.243859649119</v>
      </c>
      <c r="F29" s="129">
        <f t="shared" si="0"/>
        <v>45317.243859649119</v>
      </c>
    </row>
    <row r="30" spans="3:6" x14ac:dyDescent="0.2">
      <c r="C30" s="42" t="s">
        <v>72</v>
      </c>
      <c r="D30" s="36">
        <f>'uses of fund by component'!C129</f>
        <v>0</v>
      </c>
      <c r="E30" s="28">
        <f>4662.30769230769+D30</f>
        <v>4662.3076923076896</v>
      </c>
      <c r="F30" s="129">
        <f t="shared" si="0"/>
        <v>4662.3076923076896</v>
      </c>
    </row>
    <row r="31" spans="3:6" x14ac:dyDescent="0.2">
      <c r="C31" s="42" t="s">
        <v>73</v>
      </c>
      <c r="D31" s="36">
        <f>'uses of fund by component'!C159</f>
        <v>16845.614035087718</v>
      </c>
      <c r="E31" s="28">
        <f>777.972027972028+D31</f>
        <v>17623.586063059745</v>
      </c>
      <c r="F31" s="129">
        <f t="shared" si="0"/>
        <v>17623.586063059745</v>
      </c>
    </row>
    <row r="32" spans="3:6" x14ac:dyDescent="0.2">
      <c r="C32" s="42" t="s">
        <v>74</v>
      </c>
      <c r="D32" s="55">
        <f>'uses of fund by component'!C251</f>
        <v>53013.591578947366</v>
      </c>
      <c r="E32" s="28">
        <f>273911.514195804+D32</f>
        <v>326925.1057747514</v>
      </c>
      <c r="F32" s="129">
        <f t="shared" si="0"/>
        <v>326925.1057747514</v>
      </c>
    </row>
    <row r="33" spans="2:8" x14ac:dyDescent="0.2">
      <c r="B33" s="5"/>
      <c r="C33" s="52" t="s">
        <v>75</v>
      </c>
      <c r="D33" s="28">
        <f>'uses of fund by component'!C268</f>
        <v>0</v>
      </c>
      <c r="E33" s="28">
        <f>20853.6639160839+D33</f>
        <v>20853.6639160839</v>
      </c>
      <c r="F33" s="129">
        <f t="shared" si="0"/>
        <v>20853.6639160839</v>
      </c>
    </row>
    <row r="34" spans="2:8" x14ac:dyDescent="0.2">
      <c r="B34" s="5"/>
      <c r="C34" s="52"/>
      <c r="D34" s="28"/>
      <c r="E34" s="28"/>
      <c r="F34" s="7"/>
    </row>
    <row r="35" spans="2:8" s="12" customFormat="1" ht="13.5" thickBot="1" x14ac:dyDescent="0.25">
      <c r="C35" s="19" t="s">
        <v>15</v>
      </c>
      <c r="D35" s="31">
        <f>SUM(D27:D33)</f>
        <v>565029.2091228069</v>
      </c>
      <c r="E35" s="140">
        <f>SUM(E27:E33)</f>
        <v>1139470.1004165136</v>
      </c>
      <c r="F35" s="142">
        <f>SUM(F27:F34)</f>
        <v>1139470.1004165136</v>
      </c>
    </row>
    <row r="36" spans="2:8" ht="13.5" thickBot="1" x14ac:dyDescent="0.25">
      <c r="C36" s="17" t="s">
        <v>14</v>
      </c>
      <c r="D36" s="132">
        <f>D35</f>
        <v>565029.2091228069</v>
      </c>
      <c r="E36" s="141">
        <f>E35</f>
        <v>1139470.1004165136</v>
      </c>
      <c r="F36" s="139">
        <f>F35</f>
        <v>1139470.1004165136</v>
      </c>
    </row>
    <row r="37" spans="2:8" x14ac:dyDescent="0.2">
      <c r="C37" s="66"/>
      <c r="D37" s="67"/>
      <c r="E37" s="68"/>
      <c r="F37" s="68"/>
    </row>
    <row r="38" spans="2:8" x14ac:dyDescent="0.2">
      <c r="C38" s="20" t="s">
        <v>27</v>
      </c>
      <c r="D38" s="28"/>
      <c r="E38" s="28">
        <f>D38</f>
        <v>0</v>
      </c>
      <c r="F38" s="7"/>
    </row>
    <row r="39" spans="2:8" x14ac:dyDescent="0.2">
      <c r="C39" s="3" t="s">
        <v>23</v>
      </c>
      <c r="D39" s="28">
        <f>D23-D35</f>
        <v>-524236.31912280689</v>
      </c>
      <c r="E39" s="28">
        <f>E17-E35+E21</f>
        <v>308067.13958348637</v>
      </c>
      <c r="F39" s="131">
        <f>F23-F35</f>
        <v>308067.13958348637</v>
      </c>
      <c r="H39" s="108"/>
    </row>
    <row r="40" spans="2:8" ht="13.5" thickBot="1" x14ac:dyDescent="0.25">
      <c r="C40" s="3" t="s">
        <v>10</v>
      </c>
      <c r="D40" s="28"/>
      <c r="E40" s="28">
        <f t="shared" ref="E40" si="1">D40</f>
        <v>0</v>
      </c>
      <c r="F40" s="7"/>
    </row>
    <row r="41" spans="2:8" s="12" customFormat="1" ht="13.5" thickBot="1" x14ac:dyDescent="0.25">
      <c r="C41" s="17" t="s">
        <v>6</v>
      </c>
      <c r="D41" s="43">
        <f>SUM(D37:D40)</f>
        <v>-524236.31912280689</v>
      </c>
      <c r="E41" s="43">
        <f>E39</f>
        <v>308067.13958348637</v>
      </c>
      <c r="F41" s="132">
        <f>E41</f>
        <v>308067.13958348637</v>
      </c>
    </row>
    <row r="42" spans="2:8" x14ac:dyDescent="0.2">
      <c r="C42" s="3"/>
      <c r="D42" s="5"/>
      <c r="E42" s="4"/>
      <c r="F42" s="7"/>
    </row>
    <row r="43" spans="2:8" x14ac:dyDescent="0.2">
      <c r="C43" s="10"/>
      <c r="D43" s="11"/>
      <c r="E43" s="11"/>
      <c r="F43" s="133"/>
    </row>
    <row r="44" spans="2:8" x14ac:dyDescent="0.2">
      <c r="C44" s="104" t="s">
        <v>36</v>
      </c>
      <c r="D44" s="103"/>
      <c r="E44" s="103"/>
      <c r="F44" s="103"/>
    </row>
    <row r="45" spans="2:8" x14ac:dyDescent="0.2">
      <c r="C45" s="99"/>
      <c r="D45" s="7"/>
      <c r="E45" s="7"/>
      <c r="F45" s="7"/>
    </row>
    <row r="46" spans="2:8" x14ac:dyDescent="0.2">
      <c r="C46" s="100" t="s">
        <v>41</v>
      </c>
      <c r="D46" s="28">
        <f>'Committed Fund by component'!C22</f>
        <v>0</v>
      </c>
      <c r="E46" s="28">
        <f>'Committed Fund by component'!D22</f>
        <v>0</v>
      </c>
      <c r="F46" s="28">
        <f>E46</f>
        <v>0</v>
      </c>
    </row>
    <row r="47" spans="2:8" x14ac:dyDescent="0.2">
      <c r="C47" s="100"/>
      <c r="D47" s="7"/>
      <c r="E47" s="7"/>
      <c r="F47" s="7"/>
    </row>
    <row r="48" spans="2:8" x14ac:dyDescent="0.2">
      <c r="C48" s="101" t="s">
        <v>35</v>
      </c>
      <c r="D48" s="53">
        <f>D46</f>
        <v>0</v>
      </c>
      <c r="E48" s="53">
        <f>E46</f>
        <v>0</v>
      </c>
      <c r="F48" s="28">
        <f>E48</f>
        <v>0</v>
      </c>
    </row>
    <row r="49" spans="3:6" x14ac:dyDescent="0.2">
      <c r="C49" s="143" t="s">
        <v>38</v>
      </c>
      <c r="D49" s="144">
        <f>D36+D48</f>
        <v>565029.2091228069</v>
      </c>
      <c r="E49" s="144">
        <f>E36+E48</f>
        <v>1139470.1004165136</v>
      </c>
      <c r="F49" s="145">
        <f>F36+F48</f>
        <v>1139470.1004165136</v>
      </c>
    </row>
    <row r="50" spans="3:6" x14ac:dyDescent="0.2">
      <c r="C50" s="102" t="s">
        <v>14</v>
      </c>
      <c r="D50" s="105">
        <f>D41-D48</f>
        <v>-524236.31912280689</v>
      </c>
      <c r="E50" s="105">
        <f>E41-E48</f>
        <v>308067.13958348637</v>
      </c>
      <c r="F50" s="134">
        <f>F41-F48</f>
        <v>308067.13958348637</v>
      </c>
    </row>
    <row r="54" spans="3:6" x14ac:dyDescent="0.2">
      <c r="C54" t="s">
        <v>83</v>
      </c>
      <c r="D54" t="s">
        <v>85</v>
      </c>
    </row>
    <row r="55" spans="3:6" x14ac:dyDescent="0.2">
      <c r="C55" t="s">
        <v>84</v>
      </c>
      <c r="D55" s="150" t="s">
        <v>86</v>
      </c>
    </row>
  </sheetData>
  <mergeCells count="6">
    <mergeCell ref="C4:F4"/>
    <mergeCell ref="H2:N2"/>
    <mergeCell ref="H3:N3"/>
    <mergeCell ref="C1:F1"/>
    <mergeCell ref="C2:F2"/>
    <mergeCell ref="C3:F3"/>
  </mergeCells>
  <phoneticPr fontId="0" type="noConversion"/>
  <pageMargins left="0.57999999999999996" right="0.47" top="0.63" bottom="0.66" header="0.31" footer="0.38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9"/>
  <sheetViews>
    <sheetView tabSelected="1" topLeftCell="A241" zoomScale="85" zoomScaleNormal="85" workbookViewId="0">
      <selection activeCell="Q259" sqref="Q259"/>
    </sheetView>
  </sheetViews>
  <sheetFormatPr defaultRowHeight="12.75" x14ac:dyDescent="0.2"/>
  <cols>
    <col min="1" max="1" width="3.7109375" style="150" customWidth="1"/>
    <col min="2" max="2" width="96.140625" style="150" customWidth="1"/>
    <col min="3" max="3" width="13.140625" style="150" customWidth="1"/>
    <col min="4" max="4" width="12.85546875" style="150" bestFit="1" customWidth="1"/>
    <col min="5" max="5" width="14.42578125" style="150" customWidth="1"/>
    <col min="6" max="6" width="11.140625" style="150" customWidth="1"/>
    <col min="7" max="7" width="11.5703125" style="150" customWidth="1"/>
    <col min="8" max="8" width="9.140625" style="150"/>
    <col min="9" max="9" width="14.85546875" style="150" customWidth="1"/>
    <col min="10" max="10" width="10.85546875" style="150" bestFit="1" customWidth="1"/>
    <col min="11" max="16384" width="9.140625" style="150"/>
  </cols>
  <sheetData>
    <row r="1" spans="2:11" x14ac:dyDescent="0.2">
      <c r="B1" s="204" t="s">
        <v>77</v>
      </c>
      <c r="C1" s="204"/>
      <c r="D1" s="204"/>
      <c r="E1" s="204"/>
      <c r="F1" s="204"/>
      <c r="G1" s="204"/>
      <c r="H1" s="204"/>
      <c r="I1" s="204"/>
      <c r="J1" s="204"/>
    </row>
    <row r="2" spans="2:11" ht="15" x14ac:dyDescent="0.25">
      <c r="B2" s="198" t="s">
        <v>82</v>
      </c>
      <c r="C2" s="199"/>
      <c r="D2" s="199"/>
      <c r="E2" s="199"/>
      <c r="F2" s="199"/>
      <c r="G2" s="199"/>
      <c r="H2" s="199"/>
      <c r="I2" s="199"/>
      <c r="J2" s="199"/>
    </row>
    <row r="3" spans="2:11" x14ac:dyDescent="0.2">
      <c r="B3" s="204" t="s">
        <v>24</v>
      </c>
      <c r="C3" s="204"/>
      <c r="D3" s="204"/>
      <c r="E3" s="204"/>
      <c r="F3" s="204"/>
      <c r="G3" s="204"/>
      <c r="H3" s="204"/>
      <c r="I3" s="204"/>
      <c r="J3" s="204"/>
    </row>
    <row r="4" spans="2:11" x14ac:dyDescent="0.2">
      <c r="B4" s="204" t="s">
        <v>91</v>
      </c>
      <c r="C4" s="204"/>
      <c r="D4" s="204"/>
      <c r="E4" s="204"/>
      <c r="F4" s="204"/>
      <c r="G4" s="204"/>
      <c r="H4" s="204"/>
      <c r="I4" s="204"/>
      <c r="J4" s="204"/>
    </row>
    <row r="6" spans="2:11" x14ac:dyDescent="0.2">
      <c r="F6" s="150" t="s">
        <v>28</v>
      </c>
      <c r="J6" s="12"/>
    </row>
    <row r="8" spans="2:11" x14ac:dyDescent="0.2">
      <c r="B8" s="151"/>
      <c r="C8" s="151"/>
      <c r="D8" s="152"/>
      <c r="E8" s="153"/>
      <c r="F8" s="151"/>
      <c r="G8" s="152"/>
      <c r="H8" s="153"/>
      <c r="I8" s="153"/>
      <c r="J8" s="153"/>
      <c r="K8" s="153"/>
    </row>
    <row r="9" spans="2:11" x14ac:dyDescent="0.2">
      <c r="B9" s="22"/>
      <c r="C9" s="205" t="s">
        <v>90</v>
      </c>
      <c r="D9" s="206"/>
      <c r="E9" s="207"/>
      <c r="F9" s="201"/>
      <c r="G9" s="202"/>
      <c r="H9" s="203"/>
      <c r="I9" s="21"/>
      <c r="J9" s="21"/>
      <c r="K9" s="21"/>
    </row>
    <row r="10" spans="2:11" ht="12.75" customHeight="1" x14ac:dyDescent="0.2">
      <c r="B10" s="148" t="s">
        <v>1</v>
      </c>
      <c r="C10" s="205"/>
      <c r="D10" s="206"/>
      <c r="E10" s="207"/>
      <c r="F10" s="201" t="s">
        <v>20</v>
      </c>
      <c r="G10" s="202"/>
      <c r="H10" s="203"/>
      <c r="I10" s="21" t="s">
        <v>17</v>
      </c>
      <c r="J10" s="21" t="s">
        <v>18</v>
      </c>
      <c r="K10" s="21" t="s">
        <v>12</v>
      </c>
    </row>
    <row r="11" spans="2:11" x14ac:dyDescent="0.2">
      <c r="B11" s="13"/>
      <c r="C11" s="205"/>
      <c r="D11" s="206"/>
      <c r="E11" s="207"/>
      <c r="F11" s="22"/>
      <c r="G11" s="23" t="s">
        <v>19</v>
      </c>
      <c r="H11" s="14"/>
      <c r="I11" s="21" t="s">
        <v>9</v>
      </c>
      <c r="J11" s="21" t="s">
        <v>11</v>
      </c>
      <c r="K11" s="21" t="s">
        <v>13</v>
      </c>
    </row>
    <row r="12" spans="2:11" x14ac:dyDescent="0.2">
      <c r="B12" s="154"/>
      <c r="C12" s="154" t="s">
        <v>7</v>
      </c>
      <c r="D12" s="155" t="s">
        <v>8</v>
      </c>
      <c r="E12" s="156" t="s">
        <v>9</v>
      </c>
      <c r="F12" s="154" t="s">
        <v>7</v>
      </c>
      <c r="G12" s="155" t="s">
        <v>8</v>
      </c>
      <c r="H12" s="156" t="s">
        <v>9</v>
      </c>
      <c r="I12" s="156"/>
      <c r="J12" s="156"/>
      <c r="K12" s="156"/>
    </row>
    <row r="13" spans="2:11" x14ac:dyDescent="0.2">
      <c r="B13" s="15" t="s">
        <v>78</v>
      </c>
      <c r="C13" s="166"/>
      <c r="D13" s="166"/>
      <c r="E13" s="60"/>
      <c r="F13" s="60"/>
      <c r="G13" s="60"/>
      <c r="H13" s="60"/>
      <c r="I13" s="46"/>
      <c r="J13" s="157"/>
      <c r="K13" s="157"/>
    </row>
    <row r="14" spans="2:11" ht="16.5" x14ac:dyDescent="0.3">
      <c r="B14" s="187" t="s">
        <v>93</v>
      </c>
      <c r="C14" s="188">
        <f>5000/5.7</f>
        <v>877.19298245614027</v>
      </c>
      <c r="D14" s="46"/>
      <c r="E14" s="60"/>
      <c r="F14" s="158"/>
      <c r="G14" s="158"/>
      <c r="H14" s="60"/>
      <c r="I14" s="46"/>
      <c r="J14" s="157"/>
      <c r="K14" s="157"/>
    </row>
    <row r="15" spans="2:11" ht="16.5" x14ac:dyDescent="0.3">
      <c r="B15" s="187" t="s">
        <v>94</v>
      </c>
      <c r="C15" s="188">
        <f>15158/5.7</f>
        <v>2659.2982456140348</v>
      </c>
      <c r="D15" s="46"/>
      <c r="E15" s="60"/>
      <c r="F15" s="60"/>
      <c r="G15" s="60"/>
      <c r="H15" s="60"/>
      <c r="I15" s="46"/>
      <c r="J15" s="157"/>
      <c r="K15" s="157"/>
    </row>
    <row r="16" spans="2:11" ht="16.5" x14ac:dyDescent="0.3">
      <c r="B16" s="187" t="s">
        <v>103</v>
      </c>
      <c r="C16" s="188">
        <f>230/5.7</f>
        <v>40.350877192982452</v>
      </c>
      <c r="D16" s="46"/>
      <c r="E16" s="60"/>
      <c r="F16" s="60"/>
      <c r="G16" s="60"/>
      <c r="H16" s="60"/>
      <c r="I16" s="46"/>
      <c r="J16" s="46"/>
      <c r="K16" s="46"/>
    </row>
    <row r="17" spans="2:11" ht="16.5" x14ac:dyDescent="0.3">
      <c r="B17" s="187" t="s">
        <v>103</v>
      </c>
      <c r="C17" s="188">
        <f>890/5.7</f>
        <v>156.14035087719299</v>
      </c>
      <c r="D17" s="46"/>
      <c r="E17" s="60"/>
      <c r="F17" s="60"/>
      <c r="G17" s="60"/>
      <c r="H17" s="60"/>
      <c r="I17" s="46"/>
      <c r="J17" s="46"/>
      <c r="K17" s="46"/>
    </row>
    <row r="18" spans="2:11" ht="16.5" x14ac:dyDescent="0.3">
      <c r="B18" s="187" t="s">
        <v>103</v>
      </c>
      <c r="C18" s="188">
        <f>1485/5.7</f>
        <v>260.5263157894737</v>
      </c>
      <c r="D18" s="46"/>
      <c r="E18" s="60"/>
      <c r="F18" s="60"/>
      <c r="G18" s="60"/>
      <c r="H18" s="60"/>
      <c r="I18" s="159"/>
      <c r="J18" s="159"/>
      <c r="K18" s="46"/>
    </row>
    <row r="19" spans="2:11" ht="16.5" x14ac:dyDescent="0.3">
      <c r="B19" s="187" t="str">
        <f>B18</f>
        <v>Bootcamp On Post Graduate Programmes</v>
      </c>
      <c r="C19" s="188">
        <f>260/5.7</f>
        <v>45.614035087719294</v>
      </c>
      <c r="D19" s="46"/>
      <c r="E19" s="60"/>
      <c r="F19" s="60"/>
      <c r="G19" s="60"/>
      <c r="H19" s="60"/>
      <c r="I19" s="159"/>
      <c r="J19" s="159"/>
      <c r="K19" s="46"/>
    </row>
    <row r="20" spans="2:11" ht="16.5" x14ac:dyDescent="0.3">
      <c r="B20" s="187" t="s">
        <v>103</v>
      </c>
      <c r="C20" s="188">
        <f>230/5.7</f>
        <v>40.350877192982452</v>
      </c>
      <c r="D20" s="46"/>
      <c r="E20" s="60"/>
      <c r="F20" s="60"/>
      <c r="G20" s="60"/>
      <c r="H20" s="60"/>
      <c r="I20" s="159"/>
      <c r="J20" s="159"/>
      <c r="K20" s="46"/>
    </row>
    <row r="21" spans="2:11" ht="16.5" x14ac:dyDescent="0.3">
      <c r="B21" s="187" t="s">
        <v>103</v>
      </c>
      <c r="C21" s="188">
        <f>1350/5.7</f>
        <v>236.84210526315789</v>
      </c>
      <c r="D21" s="46"/>
      <c r="E21" s="60"/>
      <c r="F21" s="60"/>
      <c r="G21" s="60"/>
      <c r="H21" s="60"/>
      <c r="I21" s="159"/>
      <c r="J21" s="159"/>
      <c r="K21" s="46"/>
    </row>
    <row r="22" spans="2:11" ht="16.5" x14ac:dyDescent="0.3">
      <c r="B22" s="187" t="s">
        <v>103</v>
      </c>
      <c r="C22" s="188">
        <f>1440/5.7</f>
        <v>252.63157894736841</v>
      </c>
      <c r="D22" s="46"/>
      <c r="E22" s="60"/>
      <c r="F22" s="60"/>
      <c r="G22" s="60"/>
      <c r="H22" s="60"/>
      <c r="I22" s="159"/>
      <c r="J22" s="159"/>
      <c r="K22" s="46"/>
    </row>
    <row r="23" spans="2:11" ht="16.5" x14ac:dyDescent="0.3">
      <c r="B23" s="187" t="s">
        <v>103</v>
      </c>
      <c r="C23" s="188">
        <f>260/5.7</f>
        <v>45.614035087719294</v>
      </c>
      <c r="D23" s="46"/>
      <c r="E23" s="60"/>
      <c r="F23" s="60"/>
      <c r="G23" s="60"/>
      <c r="H23" s="60"/>
      <c r="I23" s="159"/>
      <c r="J23" s="159"/>
      <c r="K23" s="46"/>
    </row>
    <row r="24" spans="2:11" ht="16.5" x14ac:dyDescent="0.3">
      <c r="B24" s="187" t="s">
        <v>103</v>
      </c>
      <c r="C24" s="188">
        <f>260/5.7</f>
        <v>45.614035087719294</v>
      </c>
      <c r="D24" s="46"/>
      <c r="E24" s="60"/>
      <c r="F24" s="60"/>
      <c r="G24" s="60"/>
      <c r="H24" s="60"/>
      <c r="I24" s="159"/>
      <c r="J24" s="159"/>
      <c r="K24" s="46"/>
    </row>
    <row r="25" spans="2:11" ht="16.5" x14ac:dyDescent="0.3">
      <c r="B25" s="187" t="s">
        <v>103</v>
      </c>
      <c r="C25" s="188">
        <f>890/5.7</f>
        <v>156.14035087719299</v>
      </c>
      <c r="D25" s="46"/>
      <c r="E25" s="60"/>
      <c r="F25" s="60"/>
      <c r="G25" s="60"/>
      <c r="H25" s="60"/>
      <c r="I25" s="159"/>
      <c r="J25" s="159"/>
      <c r="K25" s="46"/>
    </row>
    <row r="26" spans="2:11" ht="16.5" x14ac:dyDescent="0.3">
      <c r="B26" s="187" t="s">
        <v>103</v>
      </c>
      <c r="C26" s="188">
        <f>935/5.7</f>
        <v>164.03508771929825</v>
      </c>
      <c r="D26" s="46"/>
      <c r="E26" s="60"/>
      <c r="F26" s="60"/>
      <c r="G26" s="60"/>
      <c r="H26" s="60"/>
      <c r="I26" s="159"/>
      <c r="J26" s="159"/>
      <c r="K26" s="46"/>
    </row>
    <row r="27" spans="2:11" ht="16.5" x14ac:dyDescent="0.3">
      <c r="B27" s="187" t="s">
        <v>103</v>
      </c>
      <c r="C27" s="188">
        <f>230/5.7</f>
        <v>40.350877192982452</v>
      </c>
      <c r="D27" s="46"/>
      <c r="E27" s="60"/>
      <c r="F27" s="60"/>
      <c r="G27" s="60"/>
      <c r="H27" s="60"/>
      <c r="I27" s="159"/>
      <c r="J27" s="159"/>
      <c r="K27" s="46"/>
    </row>
    <row r="28" spans="2:11" ht="16.5" x14ac:dyDescent="0.3">
      <c r="B28" s="187" t="s">
        <v>103</v>
      </c>
      <c r="C28" s="188">
        <f>920/5.7</f>
        <v>161.40350877192981</v>
      </c>
      <c r="D28" s="46"/>
      <c r="E28" s="60"/>
      <c r="F28" s="60"/>
      <c r="G28" s="60"/>
      <c r="H28" s="60"/>
      <c r="I28" s="159"/>
      <c r="J28" s="159"/>
      <c r="K28" s="46"/>
    </row>
    <row r="29" spans="2:11" ht="16.5" x14ac:dyDescent="0.3">
      <c r="B29" s="187" t="s">
        <v>103</v>
      </c>
      <c r="C29" s="188">
        <f>230/5.7</f>
        <v>40.350877192982452</v>
      </c>
      <c r="D29" s="46"/>
      <c r="E29" s="60"/>
      <c r="F29" s="60"/>
      <c r="G29" s="60"/>
      <c r="H29" s="60"/>
      <c r="I29" s="159"/>
      <c r="J29" s="159"/>
      <c r="K29" s="46"/>
    </row>
    <row r="30" spans="2:11" ht="16.5" x14ac:dyDescent="0.3">
      <c r="B30" s="187" t="s">
        <v>104</v>
      </c>
      <c r="C30" s="188">
        <f>4000/5.7</f>
        <v>701.75438596491222</v>
      </c>
      <c r="D30" s="46"/>
      <c r="E30" s="60"/>
      <c r="F30" s="60"/>
      <c r="G30" s="60"/>
      <c r="H30" s="60"/>
      <c r="I30" s="159"/>
      <c r="J30" s="159"/>
      <c r="K30" s="46"/>
    </row>
    <row r="31" spans="2:11" ht="16.5" x14ac:dyDescent="0.3">
      <c r="B31" s="187" t="s">
        <v>105</v>
      </c>
      <c r="C31" s="188">
        <f>450/5.7</f>
        <v>78.94736842105263</v>
      </c>
      <c r="D31" s="46"/>
      <c r="E31" s="60"/>
      <c r="F31" s="60"/>
      <c r="G31" s="60"/>
      <c r="H31" s="60"/>
      <c r="I31" s="159"/>
      <c r="J31" s="159"/>
      <c r="K31" s="46"/>
    </row>
    <row r="32" spans="2:11" ht="16.5" x14ac:dyDescent="0.3">
      <c r="B32" s="187" t="s">
        <v>107</v>
      </c>
      <c r="C32" s="188">
        <f>1080/5.7</f>
        <v>189.4736842105263</v>
      </c>
      <c r="D32" s="46"/>
      <c r="E32" s="60"/>
      <c r="F32" s="60"/>
      <c r="G32" s="60"/>
      <c r="H32" s="60"/>
      <c r="I32" s="159"/>
      <c r="J32" s="159"/>
      <c r="K32" s="46"/>
    </row>
    <row r="33" spans="2:11" ht="16.5" x14ac:dyDescent="0.3">
      <c r="B33" s="187" t="s">
        <v>108</v>
      </c>
      <c r="C33" s="188">
        <f>1800/5.7</f>
        <v>315.78947368421052</v>
      </c>
      <c r="D33" s="46"/>
      <c r="E33" s="60"/>
      <c r="F33" s="60"/>
      <c r="G33" s="60"/>
      <c r="H33" s="60"/>
      <c r="I33" s="159"/>
      <c r="J33" s="159"/>
      <c r="K33" s="46"/>
    </row>
    <row r="34" spans="2:11" ht="16.5" x14ac:dyDescent="0.3">
      <c r="B34" s="187" t="s">
        <v>109</v>
      </c>
      <c r="C34" s="188">
        <f>4934.5/5.7</f>
        <v>865.70175438596493</v>
      </c>
      <c r="D34" s="46"/>
      <c r="E34" s="60"/>
      <c r="F34" s="60"/>
      <c r="G34" s="60"/>
      <c r="H34" s="60"/>
      <c r="I34" s="159"/>
      <c r="J34" s="159"/>
      <c r="K34" s="46"/>
    </row>
    <row r="35" spans="2:11" ht="16.5" x14ac:dyDescent="0.3">
      <c r="B35" s="188" t="s">
        <v>111</v>
      </c>
      <c r="C35" s="188">
        <f>805.5/5.7</f>
        <v>141.31578947368422</v>
      </c>
      <c r="D35" s="46"/>
      <c r="E35" s="60"/>
      <c r="F35" s="60"/>
      <c r="G35" s="60"/>
      <c r="H35" s="60"/>
      <c r="I35" s="159"/>
      <c r="J35" s="159"/>
      <c r="K35" s="46"/>
    </row>
    <row r="36" spans="2:11" ht="16.5" x14ac:dyDescent="0.3">
      <c r="B36" s="187" t="s">
        <v>114</v>
      </c>
      <c r="C36" s="188">
        <f>383.33/5.7</f>
        <v>67.250877192982458</v>
      </c>
      <c r="D36" s="46"/>
      <c r="E36" s="60"/>
      <c r="F36" s="60"/>
      <c r="G36" s="60"/>
      <c r="H36" s="60"/>
      <c r="I36" s="159"/>
      <c r="J36" s="159"/>
      <c r="K36" s="46"/>
    </row>
    <row r="37" spans="2:11" ht="16.5" x14ac:dyDescent="0.3">
      <c r="B37" s="187" t="s">
        <v>114</v>
      </c>
      <c r="C37" s="188">
        <f>383.33/5.7</f>
        <v>67.250877192982458</v>
      </c>
      <c r="D37" s="46"/>
      <c r="E37" s="60"/>
      <c r="F37" s="60"/>
      <c r="G37" s="60"/>
      <c r="H37" s="60"/>
      <c r="I37" s="159"/>
      <c r="J37" s="159"/>
      <c r="K37" s="46"/>
    </row>
    <row r="38" spans="2:11" ht="16.5" x14ac:dyDescent="0.3">
      <c r="B38" s="187" t="s">
        <v>114</v>
      </c>
      <c r="C38" s="188">
        <f t="shared" ref="C38:C40" si="0">383.33/5.7</f>
        <v>67.250877192982458</v>
      </c>
      <c r="D38" s="46"/>
      <c r="E38" s="60"/>
      <c r="F38" s="60"/>
      <c r="G38" s="60"/>
      <c r="H38" s="60"/>
      <c r="I38" s="159"/>
      <c r="J38" s="159"/>
      <c r="K38" s="46"/>
    </row>
    <row r="39" spans="2:11" ht="16.5" x14ac:dyDescent="0.3">
      <c r="B39" s="187" t="s">
        <v>114</v>
      </c>
      <c r="C39" s="188">
        <f t="shared" si="0"/>
        <v>67.250877192982458</v>
      </c>
      <c r="D39" s="46"/>
      <c r="E39" s="60"/>
      <c r="F39" s="60"/>
      <c r="G39" s="60"/>
      <c r="H39" s="60"/>
      <c r="I39" s="159"/>
      <c r="J39" s="159"/>
      <c r="K39" s="46"/>
    </row>
    <row r="40" spans="2:11" ht="16.5" x14ac:dyDescent="0.3">
      <c r="B40" s="187" t="s">
        <v>114</v>
      </c>
      <c r="C40" s="188">
        <f t="shared" si="0"/>
        <v>67.250877192982458</v>
      </c>
      <c r="D40" s="46"/>
      <c r="E40" s="60"/>
      <c r="F40" s="60"/>
      <c r="G40" s="60"/>
      <c r="H40" s="60"/>
      <c r="I40" s="159"/>
      <c r="J40" s="159"/>
      <c r="K40" s="46"/>
    </row>
    <row r="41" spans="2:11" ht="16.5" x14ac:dyDescent="0.3">
      <c r="B41" s="187" t="s">
        <v>114</v>
      </c>
      <c r="C41" s="188">
        <f>230/5.7</f>
        <v>40.350877192982452</v>
      </c>
      <c r="D41" s="46"/>
      <c r="E41" s="60"/>
      <c r="F41" s="60"/>
      <c r="G41" s="60"/>
      <c r="H41" s="60"/>
      <c r="I41" s="159"/>
      <c r="J41" s="159"/>
      <c r="K41" s="46"/>
    </row>
    <row r="42" spans="2:11" ht="16.5" x14ac:dyDescent="0.3">
      <c r="B42" s="187" t="s">
        <v>114</v>
      </c>
      <c r="C42" s="188">
        <f>458.33/5.7</f>
        <v>80.408771929824553</v>
      </c>
      <c r="D42" s="46"/>
      <c r="E42" s="60"/>
      <c r="F42" s="60"/>
      <c r="G42" s="60"/>
      <c r="H42" s="60"/>
      <c r="I42" s="159"/>
      <c r="J42" s="159"/>
      <c r="K42" s="46"/>
    </row>
    <row r="43" spans="2:11" ht="16.5" x14ac:dyDescent="0.3">
      <c r="B43" s="187" t="s">
        <v>114</v>
      </c>
      <c r="C43" s="188">
        <f>275/5.7</f>
        <v>48.245614035087719</v>
      </c>
      <c r="D43" s="46"/>
      <c r="E43" s="60"/>
      <c r="F43" s="60"/>
      <c r="G43" s="60"/>
      <c r="H43" s="60"/>
      <c r="I43" s="159"/>
      <c r="J43" s="159"/>
      <c r="K43" s="46"/>
    </row>
    <row r="44" spans="2:11" ht="16.5" x14ac:dyDescent="0.3">
      <c r="B44" s="187" t="s">
        <v>114</v>
      </c>
      <c r="C44" s="188">
        <f>150/5.7</f>
        <v>26.315789473684209</v>
      </c>
      <c r="D44" s="46"/>
      <c r="E44" s="60"/>
      <c r="F44" s="60"/>
      <c r="G44" s="60"/>
      <c r="H44" s="60"/>
      <c r="I44" s="159"/>
      <c r="J44" s="159"/>
      <c r="K44" s="46"/>
    </row>
    <row r="45" spans="2:11" ht="16.5" x14ac:dyDescent="0.3">
      <c r="B45" s="187" t="s">
        <v>114</v>
      </c>
      <c r="C45" s="188">
        <f>260/5.7</f>
        <v>45.614035087719294</v>
      </c>
      <c r="D45" s="46"/>
      <c r="E45" s="60"/>
      <c r="F45" s="60"/>
      <c r="G45" s="60"/>
      <c r="H45" s="60"/>
      <c r="I45" s="159"/>
      <c r="J45" s="159"/>
      <c r="K45" s="46"/>
    </row>
    <row r="46" spans="2:11" ht="16.5" x14ac:dyDescent="0.3">
      <c r="B46" s="187" t="s">
        <v>114</v>
      </c>
      <c r="C46" s="188">
        <f>433.33/5.7</f>
        <v>76.022807017543855</v>
      </c>
      <c r="D46" s="46"/>
      <c r="E46" s="60"/>
      <c r="F46" s="60"/>
      <c r="G46" s="60"/>
      <c r="H46" s="60"/>
      <c r="I46" s="159"/>
      <c r="J46" s="159"/>
      <c r="K46" s="46"/>
    </row>
    <row r="47" spans="2:11" ht="16.5" x14ac:dyDescent="0.3">
      <c r="B47" s="187" t="s">
        <v>114</v>
      </c>
      <c r="C47" s="188">
        <f>433.33/5.7</f>
        <v>76.022807017543855</v>
      </c>
      <c r="D47" s="46"/>
      <c r="E47" s="60"/>
      <c r="F47" s="60"/>
      <c r="G47" s="60"/>
      <c r="H47" s="60"/>
      <c r="I47" s="159"/>
      <c r="J47" s="159"/>
      <c r="K47" s="46"/>
    </row>
    <row r="48" spans="2:11" ht="16.5" x14ac:dyDescent="0.3">
      <c r="B48" s="187" t="s">
        <v>114</v>
      </c>
      <c r="C48" s="188">
        <f>433.33/5.7</f>
        <v>76.022807017543855</v>
      </c>
      <c r="D48" s="46"/>
      <c r="E48" s="60"/>
      <c r="F48" s="60"/>
      <c r="G48" s="60"/>
      <c r="H48" s="60"/>
      <c r="I48" s="159"/>
      <c r="J48" s="159"/>
      <c r="K48" s="46"/>
    </row>
    <row r="49" spans="2:11" ht="16.5" x14ac:dyDescent="0.3">
      <c r="B49" s="187" t="s">
        <v>114</v>
      </c>
      <c r="C49" s="188">
        <f>383.33/5.7</f>
        <v>67.250877192982458</v>
      </c>
      <c r="D49" s="46"/>
      <c r="E49" s="60"/>
      <c r="F49" s="60"/>
      <c r="G49" s="60"/>
      <c r="H49" s="60"/>
      <c r="I49" s="159"/>
      <c r="J49" s="159"/>
      <c r="K49" s="46"/>
    </row>
    <row r="50" spans="2:11" ht="16.5" x14ac:dyDescent="0.3">
      <c r="B50" s="187" t="s">
        <v>114</v>
      </c>
      <c r="C50" s="188">
        <f>433.33/5.7</f>
        <v>76.022807017543855</v>
      </c>
      <c r="D50" s="46"/>
      <c r="E50" s="60"/>
      <c r="F50" s="60"/>
      <c r="G50" s="60"/>
      <c r="H50" s="60"/>
      <c r="I50" s="159"/>
      <c r="J50" s="159"/>
      <c r="K50" s="46"/>
    </row>
    <row r="51" spans="2:11" ht="16.5" x14ac:dyDescent="0.3">
      <c r="B51" s="187" t="s">
        <v>119</v>
      </c>
      <c r="C51" s="188">
        <f>5550/5.7</f>
        <v>973.68421052631572</v>
      </c>
      <c r="D51" s="46"/>
      <c r="E51" s="60"/>
      <c r="F51" s="60"/>
      <c r="G51" s="60"/>
      <c r="H51" s="60"/>
      <c r="I51" s="159"/>
      <c r="J51" s="159"/>
      <c r="K51" s="46"/>
    </row>
    <row r="52" spans="2:11" ht="16.5" x14ac:dyDescent="0.3">
      <c r="B52" s="187" t="s">
        <v>120</v>
      </c>
      <c r="C52" s="188">
        <f>320/5.7</f>
        <v>56.140350877192979</v>
      </c>
      <c r="D52" s="46"/>
      <c r="E52" s="60"/>
      <c r="F52" s="60"/>
      <c r="G52" s="60"/>
      <c r="H52" s="60"/>
      <c r="I52" s="159"/>
      <c r="J52" s="159"/>
      <c r="K52" s="46"/>
    </row>
    <row r="53" spans="2:11" ht="16.5" x14ac:dyDescent="0.3">
      <c r="B53" s="187" t="s">
        <v>122</v>
      </c>
      <c r="C53" s="188">
        <f>15105/5.7</f>
        <v>2650</v>
      </c>
      <c r="D53" s="46"/>
      <c r="E53" s="60"/>
      <c r="F53" s="60"/>
      <c r="G53" s="60"/>
      <c r="H53" s="60"/>
      <c r="I53" s="159"/>
      <c r="J53" s="159"/>
      <c r="K53" s="46"/>
    </row>
    <row r="54" spans="2:11" ht="16.5" x14ac:dyDescent="0.3">
      <c r="B54" s="187" t="s">
        <v>123</v>
      </c>
      <c r="C54" s="188">
        <f>1764.76/5.7</f>
        <v>309.60701754385963</v>
      </c>
      <c r="D54" s="46"/>
      <c r="E54" s="60"/>
      <c r="F54" s="60"/>
      <c r="G54" s="60"/>
      <c r="H54" s="60"/>
      <c r="I54" s="159"/>
      <c r="J54" s="159"/>
      <c r="K54" s="46"/>
    </row>
    <row r="55" spans="2:11" ht="16.5" x14ac:dyDescent="0.3">
      <c r="B55" s="187" t="s">
        <v>122</v>
      </c>
      <c r="C55" s="188">
        <f>15105/5.7</f>
        <v>2650</v>
      </c>
      <c r="D55" s="46"/>
      <c r="E55" s="60"/>
      <c r="F55" s="60"/>
      <c r="G55" s="60"/>
      <c r="H55" s="60"/>
      <c r="I55" s="159"/>
      <c r="J55" s="159"/>
      <c r="K55" s="46"/>
    </row>
    <row r="56" spans="2:11" ht="16.5" x14ac:dyDescent="0.3">
      <c r="B56" s="187" t="s">
        <v>131</v>
      </c>
      <c r="C56" s="188">
        <f>5000/5.7</f>
        <v>877.19298245614027</v>
      </c>
      <c r="D56" s="46"/>
      <c r="E56" s="60"/>
      <c r="F56" s="60"/>
      <c r="G56" s="60"/>
      <c r="H56" s="60"/>
      <c r="I56" s="159"/>
      <c r="J56" s="159"/>
      <c r="K56" s="46"/>
    </row>
    <row r="57" spans="2:11" ht="16.5" x14ac:dyDescent="0.3">
      <c r="B57" s="187" t="s">
        <v>133</v>
      </c>
      <c r="C57" s="188">
        <f>1696.99/5.7</f>
        <v>297.71754385964914</v>
      </c>
      <c r="D57" s="46"/>
      <c r="E57" s="60"/>
      <c r="F57" s="60"/>
      <c r="G57" s="60"/>
      <c r="H57" s="60"/>
      <c r="I57" s="159"/>
      <c r="J57" s="159"/>
      <c r="K57" s="46"/>
    </row>
    <row r="58" spans="2:11" ht="16.5" x14ac:dyDescent="0.3">
      <c r="B58" s="187" t="s">
        <v>141</v>
      </c>
      <c r="C58" s="188">
        <f>15105/5.7</f>
        <v>2650</v>
      </c>
      <c r="D58" s="46"/>
      <c r="E58" s="60"/>
      <c r="F58" s="60"/>
      <c r="G58" s="60"/>
      <c r="H58" s="60"/>
      <c r="I58" s="159"/>
      <c r="J58" s="159"/>
      <c r="K58" s="46"/>
    </row>
    <row r="59" spans="2:11" ht="16.5" x14ac:dyDescent="0.3">
      <c r="B59" s="187" t="s">
        <v>146</v>
      </c>
      <c r="C59" s="188">
        <f>22800/5.7</f>
        <v>4000</v>
      </c>
      <c r="D59" s="46"/>
      <c r="E59" s="60"/>
      <c r="F59" s="60"/>
      <c r="G59" s="60"/>
      <c r="H59" s="60"/>
      <c r="I59" s="159"/>
      <c r="J59" s="159"/>
      <c r="K59" s="46"/>
    </row>
    <row r="60" spans="2:11" ht="16.5" x14ac:dyDescent="0.3">
      <c r="B60" s="187" t="s">
        <v>168</v>
      </c>
      <c r="C60" s="188">
        <f>15105/5.7</f>
        <v>2650</v>
      </c>
      <c r="D60" s="46"/>
      <c r="E60" s="60"/>
      <c r="F60" s="60"/>
      <c r="G60" s="60"/>
      <c r="H60" s="60"/>
      <c r="I60" s="159"/>
      <c r="J60" s="159"/>
      <c r="K60" s="46"/>
    </row>
    <row r="61" spans="2:11" ht="16.5" x14ac:dyDescent="0.3">
      <c r="B61" s="187" t="s">
        <v>153</v>
      </c>
      <c r="C61" s="188">
        <f>24255/5.7</f>
        <v>4255.2631578947367</v>
      </c>
      <c r="D61" s="46"/>
      <c r="E61" s="60"/>
      <c r="F61" s="60"/>
      <c r="G61" s="60"/>
      <c r="H61" s="60"/>
      <c r="I61" s="159"/>
      <c r="J61" s="159"/>
      <c r="K61" s="46"/>
    </row>
    <row r="62" spans="2:11" ht="16.5" x14ac:dyDescent="0.3">
      <c r="B62" s="187" t="s">
        <v>165</v>
      </c>
      <c r="C62" s="188">
        <f>24225/5.7</f>
        <v>4250</v>
      </c>
      <c r="D62" s="46"/>
      <c r="E62" s="60"/>
      <c r="F62" s="60"/>
      <c r="G62" s="60"/>
      <c r="H62" s="60"/>
      <c r="I62" s="159"/>
      <c r="J62" s="159"/>
      <c r="K62" s="46"/>
    </row>
    <row r="63" spans="2:11" ht="16.5" x14ac:dyDescent="0.3">
      <c r="B63" s="187" t="s">
        <v>166</v>
      </c>
      <c r="C63" s="188">
        <f>15105/5.7</f>
        <v>2650</v>
      </c>
      <c r="D63" s="46"/>
      <c r="E63" s="60"/>
      <c r="F63" s="60"/>
      <c r="G63" s="60"/>
      <c r="H63" s="60"/>
      <c r="I63" s="159"/>
      <c r="J63" s="159"/>
      <c r="K63" s="46"/>
    </row>
    <row r="64" spans="2:11" x14ac:dyDescent="0.2">
      <c r="B64" s="51"/>
      <c r="C64" s="60"/>
      <c r="D64" s="60"/>
      <c r="E64" s="60"/>
      <c r="F64" s="60"/>
      <c r="G64" s="60"/>
      <c r="H64" s="60"/>
      <c r="I64" s="159"/>
      <c r="J64" s="159"/>
      <c r="K64" s="46"/>
    </row>
    <row r="65" spans="2:11" ht="13.5" thickBot="1" x14ac:dyDescent="0.25">
      <c r="B65" s="160"/>
      <c r="C65" s="161"/>
      <c r="D65" s="161"/>
      <c r="E65" s="161"/>
      <c r="F65" s="161"/>
      <c r="G65" s="161"/>
      <c r="H65" s="161"/>
      <c r="I65" s="42"/>
      <c r="J65" s="42"/>
      <c r="K65" s="162"/>
    </row>
    <row r="66" spans="2:11" s="12" customFormat="1" ht="13.5" thickBot="1" x14ac:dyDescent="0.25">
      <c r="B66" s="17" t="s">
        <v>16</v>
      </c>
      <c r="C66" s="37">
        <f>SUM(C14:C65)</f>
        <v>36733.57543859649</v>
      </c>
      <c r="D66" s="37">
        <f>SUM(D14:D65)</f>
        <v>0</v>
      </c>
      <c r="E66" s="37">
        <f>SUM(E14:E15)</f>
        <v>0</v>
      </c>
      <c r="F66" s="43">
        <f>SUM(F14:F17)</f>
        <v>0</v>
      </c>
      <c r="G66" s="43">
        <f>SUM(G14:G17)</f>
        <v>0</v>
      </c>
      <c r="H66" s="43">
        <f>SUM(H14:H15)</f>
        <v>0</v>
      </c>
      <c r="I66" s="44"/>
      <c r="J66" s="45"/>
      <c r="K66" s="45"/>
    </row>
    <row r="67" spans="2:11" x14ac:dyDescent="0.2">
      <c r="B67" s="163"/>
      <c r="C67" s="164"/>
      <c r="D67" s="164"/>
      <c r="E67" s="164"/>
      <c r="F67" s="164"/>
      <c r="G67" s="164"/>
      <c r="H67" s="164"/>
      <c r="I67" s="165"/>
      <c r="J67" s="165"/>
      <c r="K67" s="165"/>
    </row>
    <row r="68" spans="2:11" x14ac:dyDescent="0.2">
      <c r="B68" s="15" t="s">
        <v>30</v>
      </c>
      <c r="C68" s="60"/>
      <c r="D68" s="60"/>
      <c r="E68" s="60"/>
      <c r="F68" s="60"/>
      <c r="G68" s="60"/>
      <c r="H68" s="60"/>
      <c r="I68" s="46"/>
      <c r="J68" s="46"/>
      <c r="K68" s="46"/>
    </row>
    <row r="69" spans="2:11" ht="16.5" x14ac:dyDescent="0.3">
      <c r="B69" s="186" t="s">
        <v>112</v>
      </c>
      <c r="C69" s="217">
        <f>20317.5/5.7</f>
        <v>3564.4736842105262</v>
      </c>
      <c r="D69" s="60"/>
      <c r="E69" s="60"/>
      <c r="F69" s="60"/>
      <c r="G69" s="57"/>
      <c r="H69" s="60"/>
      <c r="I69" s="46"/>
      <c r="J69" s="46"/>
      <c r="K69" s="46"/>
    </row>
    <row r="70" spans="2:11" ht="16.5" x14ac:dyDescent="0.3">
      <c r="B70" s="186" t="s">
        <v>120</v>
      </c>
      <c r="C70" s="217">
        <f>15000/5.7</f>
        <v>2631.5789473684208</v>
      </c>
      <c r="D70" s="60"/>
      <c r="E70" s="60"/>
      <c r="F70" s="60"/>
      <c r="G70" s="57"/>
      <c r="H70" s="60"/>
      <c r="I70" s="46"/>
      <c r="J70" s="46"/>
      <c r="K70" s="46"/>
    </row>
    <row r="71" spans="2:11" ht="16.5" x14ac:dyDescent="0.3">
      <c r="B71" s="186" t="s">
        <v>121</v>
      </c>
      <c r="C71" s="217">
        <f>2319461.85/5.7</f>
        <v>406923.13157894736</v>
      </c>
      <c r="E71" s="60"/>
      <c r="F71" s="166"/>
      <c r="G71" s="57"/>
      <c r="H71" s="60"/>
      <c r="I71" s="46"/>
      <c r="J71" s="46"/>
      <c r="K71" s="46"/>
    </row>
    <row r="72" spans="2:11" x14ac:dyDescent="0.2">
      <c r="B72" s="51"/>
      <c r="C72" s="166"/>
      <c r="D72" s="60"/>
      <c r="E72" s="60"/>
      <c r="F72" s="166"/>
      <c r="G72" s="57"/>
      <c r="H72" s="60"/>
      <c r="I72" s="46"/>
      <c r="J72" s="46"/>
      <c r="K72" s="46"/>
    </row>
    <row r="73" spans="2:11" x14ac:dyDescent="0.2">
      <c r="B73" s="51"/>
      <c r="C73" s="166"/>
      <c r="D73" s="60"/>
      <c r="E73" s="60"/>
      <c r="F73" s="166"/>
      <c r="G73" s="57"/>
      <c r="H73" s="60"/>
      <c r="I73" s="46"/>
      <c r="J73" s="46"/>
      <c r="K73" s="46"/>
    </row>
    <row r="74" spans="2:11" ht="13.5" thickBot="1" x14ac:dyDescent="0.25">
      <c r="B74" s="46"/>
      <c r="C74" s="166"/>
      <c r="D74" s="57"/>
      <c r="E74" s="60"/>
      <c r="F74" s="166"/>
      <c r="G74" s="57"/>
      <c r="H74" s="60"/>
      <c r="I74" s="46"/>
      <c r="J74" s="46"/>
      <c r="K74" s="46"/>
    </row>
    <row r="75" spans="2:11" ht="13.5" thickBot="1" x14ac:dyDescent="0.25">
      <c r="B75" s="58" t="s">
        <v>16</v>
      </c>
      <c r="C75" s="37">
        <f>SUM(C69:C74)</f>
        <v>413119.18421052629</v>
      </c>
      <c r="D75" s="64">
        <f>SUM(D69:D74)</f>
        <v>0</v>
      </c>
      <c r="E75" s="64">
        <f>SUM(E69:E70)</f>
        <v>0</v>
      </c>
      <c r="F75" s="37">
        <f>SUM(F69:F70)</f>
        <v>0</v>
      </c>
      <c r="G75" s="65">
        <f>SUM(G69:G70)</f>
        <v>0</v>
      </c>
      <c r="H75" s="60"/>
      <c r="I75" s="46"/>
      <c r="J75" s="46"/>
      <c r="K75" s="46"/>
    </row>
    <row r="76" spans="2:11" x14ac:dyDescent="0.2">
      <c r="B76" s="18"/>
      <c r="C76" s="164"/>
      <c r="D76" s="164"/>
      <c r="E76" s="164"/>
      <c r="F76" s="164"/>
      <c r="G76" s="167"/>
      <c r="H76" s="167"/>
      <c r="I76" s="168"/>
      <c r="J76" s="168"/>
      <c r="K76" s="168"/>
    </row>
    <row r="77" spans="2:11" x14ac:dyDescent="0.2">
      <c r="B77" s="15" t="s">
        <v>79</v>
      </c>
      <c r="C77" s="169"/>
      <c r="D77" s="170"/>
      <c r="E77" s="170"/>
      <c r="F77" s="170"/>
      <c r="G77" s="171"/>
      <c r="H77" s="171"/>
      <c r="I77" s="172"/>
      <c r="J77" s="172"/>
      <c r="K77" s="172"/>
    </row>
    <row r="78" spans="2:11" ht="16.5" x14ac:dyDescent="0.3">
      <c r="B78" s="187" t="str">
        <f>B79</f>
        <v>Payment for first tranche of research funds</v>
      </c>
      <c r="C78" s="188">
        <f>2824.38/5.7</f>
        <v>495.50526315789472</v>
      </c>
      <c r="D78" s="46"/>
      <c r="E78" s="171"/>
      <c r="F78" s="171"/>
      <c r="G78" s="171"/>
      <c r="H78" s="171"/>
      <c r="I78" s="172"/>
      <c r="J78" s="172"/>
      <c r="K78" s="172"/>
    </row>
    <row r="79" spans="2:11" ht="16.5" x14ac:dyDescent="0.3">
      <c r="B79" s="187" t="str">
        <f>B82</f>
        <v>Payment for first tranche of research funds</v>
      </c>
      <c r="C79" s="188">
        <f>11360/5.7</f>
        <v>1992.9824561403509</v>
      </c>
      <c r="D79" s="46"/>
      <c r="E79" s="171"/>
      <c r="F79" s="171"/>
      <c r="G79" s="171"/>
      <c r="H79" s="171"/>
      <c r="I79" s="172"/>
      <c r="J79" s="172"/>
      <c r="K79" s="172"/>
    </row>
    <row r="80" spans="2:11" ht="16.5" x14ac:dyDescent="0.3">
      <c r="B80" s="187" t="str">
        <f>B81</f>
        <v>Payment for first tranche of research funds</v>
      </c>
      <c r="C80" s="188">
        <f>4200/5.7</f>
        <v>736.84210526315792</v>
      </c>
      <c r="D80" s="46"/>
      <c r="E80" s="171"/>
      <c r="F80" s="171"/>
      <c r="G80" s="171"/>
      <c r="H80" s="171"/>
      <c r="I80" s="172"/>
      <c r="J80" s="172"/>
      <c r="K80" s="172"/>
    </row>
    <row r="81" spans="2:11" ht="16.5" x14ac:dyDescent="0.3">
      <c r="B81" s="187" t="str">
        <f>B82</f>
        <v>Payment for first tranche of research funds</v>
      </c>
      <c r="C81" s="188">
        <f>11440/5.7</f>
        <v>2007.0175438596491</v>
      </c>
      <c r="D81" s="46"/>
      <c r="E81" s="171"/>
      <c r="F81" s="171"/>
      <c r="G81" s="171"/>
      <c r="H81" s="171"/>
      <c r="I81" s="172"/>
      <c r="J81" s="172"/>
      <c r="K81" s="172"/>
    </row>
    <row r="82" spans="2:11" ht="16.5" x14ac:dyDescent="0.3">
      <c r="B82" s="187" t="s">
        <v>147</v>
      </c>
      <c r="C82" s="188">
        <f>3969/5.7</f>
        <v>696.31578947368416</v>
      </c>
      <c r="D82" s="46"/>
      <c r="E82" s="171"/>
      <c r="F82" s="171"/>
      <c r="G82" s="171"/>
      <c r="H82" s="171"/>
      <c r="I82" s="172"/>
      <c r="J82" s="172"/>
      <c r="K82" s="172"/>
    </row>
    <row r="83" spans="2:11" ht="16.5" x14ac:dyDescent="0.3">
      <c r="B83" s="187" t="s">
        <v>147</v>
      </c>
      <c r="C83" s="188">
        <f>14830.48/5.7</f>
        <v>2601.8385964912277</v>
      </c>
      <c r="D83" s="46"/>
      <c r="E83" s="171"/>
      <c r="F83" s="171"/>
      <c r="G83" s="171"/>
      <c r="H83" s="171"/>
      <c r="I83" s="172"/>
      <c r="J83" s="172"/>
      <c r="K83" s="172"/>
    </row>
    <row r="84" spans="2:11" ht="16.5" x14ac:dyDescent="0.3">
      <c r="B84" s="187" t="str">
        <f>B83</f>
        <v>Payment for first tranche of research funds</v>
      </c>
      <c r="C84" s="188">
        <f>3203/5.7</f>
        <v>561.92982456140351</v>
      </c>
      <c r="D84" s="46"/>
      <c r="E84" s="171"/>
      <c r="F84" s="171"/>
      <c r="G84" s="171"/>
      <c r="H84" s="171"/>
      <c r="I84" s="172"/>
      <c r="J84" s="172"/>
      <c r="K84" s="172"/>
    </row>
    <row r="85" spans="2:11" ht="16.5" x14ac:dyDescent="0.3">
      <c r="B85" s="187" t="str">
        <f>B84</f>
        <v>Payment for first tranche of research funds</v>
      </c>
      <c r="C85" s="188">
        <f>5680/5.7</f>
        <v>996.49122807017545</v>
      </c>
      <c r="D85" s="46"/>
      <c r="E85" s="171"/>
      <c r="F85" s="171"/>
      <c r="G85" s="171"/>
      <c r="H85" s="171"/>
      <c r="I85" s="172"/>
      <c r="J85" s="172"/>
      <c r="K85" s="172"/>
    </row>
    <row r="86" spans="2:11" ht="16.5" x14ac:dyDescent="0.3">
      <c r="B86" s="187" t="str">
        <f>B84</f>
        <v>Payment for first tranche of research funds</v>
      </c>
      <c r="C86" s="188">
        <f>2917/5.7</f>
        <v>511.75438596491227</v>
      </c>
      <c r="D86" s="46"/>
      <c r="E86" s="171"/>
      <c r="F86" s="171"/>
      <c r="G86" s="171"/>
      <c r="H86" s="171"/>
      <c r="I86" s="172"/>
      <c r="J86" s="172"/>
      <c r="K86" s="172"/>
    </row>
    <row r="87" spans="2:11" ht="16.5" x14ac:dyDescent="0.3">
      <c r="B87" s="187" t="str">
        <f>B85</f>
        <v>Payment for first tranche of research funds</v>
      </c>
      <c r="C87" s="188">
        <f>2500/5.7</f>
        <v>438.59649122807014</v>
      </c>
      <c r="D87" s="46"/>
      <c r="E87" s="171"/>
      <c r="F87" s="171"/>
      <c r="G87" s="171"/>
      <c r="H87" s="171"/>
      <c r="I87" s="172"/>
      <c r="J87" s="172"/>
      <c r="K87" s="172"/>
    </row>
    <row r="88" spans="2:11" ht="16.5" x14ac:dyDescent="0.3">
      <c r="B88" s="187" t="str">
        <f>B91</f>
        <v>Payment for first tranche of research funds</v>
      </c>
      <c r="C88" s="188">
        <f>6000/5.7</f>
        <v>1052.6315789473683</v>
      </c>
      <c r="D88" s="46"/>
      <c r="E88" s="171"/>
      <c r="F88" s="171"/>
      <c r="G88" s="171"/>
      <c r="H88" s="171"/>
      <c r="I88" s="172"/>
      <c r="J88" s="172"/>
      <c r="K88" s="172"/>
    </row>
    <row r="89" spans="2:11" ht="16.5" x14ac:dyDescent="0.3">
      <c r="B89" s="187" t="str">
        <f>B88</f>
        <v>Payment for first tranche of research funds</v>
      </c>
      <c r="C89" s="188">
        <f>2835/5.7</f>
        <v>497.36842105263156</v>
      </c>
      <c r="D89" s="46"/>
      <c r="E89" s="171"/>
      <c r="F89" s="171"/>
      <c r="G89" s="171"/>
      <c r="H89" s="171"/>
      <c r="I89" s="172"/>
      <c r="J89" s="172"/>
      <c r="K89" s="172"/>
    </row>
    <row r="90" spans="2:11" ht="16.5" x14ac:dyDescent="0.3">
      <c r="B90" s="187" t="str">
        <f>B89</f>
        <v>Payment for first tranche of research funds</v>
      </c>
      <c r="C90" s="188">
        <f>5948.75/5.7</f>
        <v>1043.640350877193</v>
      </c>
      <c r="D90" s="46"/>
      <c r="E90" s="171"/>
      <c r="F90" s="171"/>
      <c r="G90" s="171"/>
      <c r="H90" s="171"/>
      <c r="I90" s="172"/>
      <c r="J90" s="172"/>
      <c r="K90" s="172"/>
    </row>
    <row r="91" spans="2:11" ht="16.5" x14ac:dyDescent="0.3">
      <c r="B91" s="187" t="str">
        <f>B82</f>
        <v>Payment for first tranche of research funds</v>
      </c>
      <c r="C91" s="188">
        <f>11360/5.7</f>
        <v>1992.9824561403509</v>
      </c>
      <c r="D91" s="46"/>
      <c r="E91" s="171"/>
      <c r="F91" s="171"/>
      <c r="G91" s="171"/>
      <c r="H91" s="171"/>
      <c r="I91" s="172"/>
      <c r="J91" s="172"/>
      <c r="K91" s="172"/>
    </row>
    <row r="92" spans="2:11" ht="16.5" x14ac:dyDescent="0.3">
      <c r="B92" s="187" t="str">
        <f>B89</f>
        <v>Payment for first tranche of research funds</v>
      </c>
      <c r="C92" s="188">
        <f>7372.64/5.7</f>
        <v>1293.4456140350878</v>
      </c>
      <c r="D92" s="46"/>
      <c r="E92" s="171"/>
      <c r="F92" s="171"/>
      <c r="G92" s="171"/>
      <c r="H92" s="171"/>
      <c r="I92" s="172"/>
      <c r="J92" s="172"/>
      <c r="K92" s="172"/>
    </row>
    <row r="93" spans="2:11" ht="16.5" x14ac:dyDescent="0.3">
      <c r="B93" s="187" t="str">
        <f>B92</f>
        <v>Payment for first tranche of research funds</v>
      </c>
      <c r="C93" s="188">
        <f>6300/5.7</f>
        <v>1105.2631578947369</v>
      </c>
      <c r="D93" s="46"/>
      <c r="E93" s="171"/>
      <c r="F93" s="171"/>
      <c r="G93" s="171"/>
      <c r="H93" s="171"/>
      <c r="I93" s="172"/>
      <c r="J93" s="172"/>
      <c r="K93" s="172"/>
    </row>
    <row r="94" spans="2:11" ht="16.5" x14ac:dyDescent="0.3">
      <c r="B94" s="187" t="str">
        <f>B93</f>
        <v>Payment for first tranche of research funds</v>
      </c>
      <c r="C94" s="188">
        <f>4350/5.7</f>
        <v>763.15789473684208</v>
      </c>
      <c r="D94" s="46"/>
      <c r="E94" s="171"/>
      <c r="F94" s="171"/>
      <c r="G94" s="171"/>
      <c r="H94" s="171"/>
      <c r="I94" s="172"/>
      <c r="J94" s="172"/>
      <c r="K94" s="172"/>
    </row>
    <row r="95" spans="2:11" ht="16.5" x14ac:dyDescent="0.3">
      <c r="B95" s="187" t="str">
        <f>B94</f>
        <v>Payment for first tranche of research funds</v>
      </c>
      <c r="C95" s="188">
        <f>2315/5.7</f>
        <v>406.14035087719299</v>
      </c>
      <c r="D95" s="46"/>
      <c r="E95" s="171"/>
      <c r="F95" s="171"/>
      <c r="G95" s="171"/>
      <c r="H95" s="171"/>
      <c r="I95" s="172"/>
      <c r="J95" s="172"/>
      <c r="K95" s="172"/>
    </row>
    <row r="96" spans="2:11" ht="16.5" x14ac:dyDescent="0.3">
      <c r="B96" s="187" t="s">
        <v>150</v>
      </c>
      <c r="C96" s="188">
        <f>6566.4/5.7</f>
        <v>1152</v>
      </c>
      <c r="D96" s="46"/>
      <c r="E96" s="171"/>
      <c r="F96" s="171"/>
      <c r="G96" s="171"/>
      <c r="H96" s="171"/>
      <c r="I96" s="172"/>
      <c r="J96" s="172"/>
      <c r="K96" s="172"/>
    </row>
    <row r="97" spans="2:11" ht="16.5" x14ac:dyDescent="0.3">
      <c r="B97" s="187" t="s">
        <v>158</v>
      </c>
      <c r="C97" s="158">
        <f>3110/5.7</f>
        <v>545.61403508771923</v>
      </c>
      <c r="D97" s="46"/>
      <c r="E97" s="171"/>
      <c r="F97" s="171"/>
      <c r="G97" s="171"/>
      <c r="H97" s="171"/>
      <c r="I97" s="172"/>
      <c r="J97" s="172"/>
      <c r="K97" s="172"/>
    </row>
    <row r="98" spans="2:11" ht="16.5" x14ac:dyDescent="0.3">
      <c r="B98" s="187" t="s">
        <v>158</v>
      </c>
      <c r="C98" s="158">
        <f>2940/5.7</f>
        <v>515.78947368421052</v>
      </c>
      <c r="D98" s="46"/>
      <c r="E98" s="171"/>
      <c r="F98" s="171"/>
      <c r="G98" s="171"/>
      <c r="H98" s="171"/>
      <c r="I98" s="172"/>
      <c r="J98" s="172"/>
      <c r="K98" s="172"/>
    </row>
    <row r="99" spans="2:11" ht="16.5" x14ac:dyDescent="0.3">
      <c r="B99" s="187" t="s">
        <v>158</v>
      </c>
      <c r="C99" s="188">
        <f>3349/5.7</f>
        <v>587.54385964912274</v>
      </c>
      <c r="D99" s="46"/>
      <c r="E99" s="171"/>
      <c r="F99" s="171"/>
      <c r="G99" s="171"/>
      <c r="H99" s="171"/>
      <c r="I99" s="172"/>
      <c r="J99" s="172"/>
      <c r="K99" s="172"/>
    </row>
    <row r="100" spans="2:11" ht="16.5" x14ac:dyDescent="0.3">
      <c r="B100" s="187" t="s">
        <v>158</v>
      </c>
      <c r="C100" s="188">
        <f>3340/5.7</f>
        <v>585.9649122807017</v>
      </c>
      <c r="D100" s="46"/>
      <c r="E100" s="171"/>
      <c r="F100" s="171"/>
      <c r="G100" s="171"/>
      <c r="H100" s="171"/>
      <c r="I100" s="172"/>
      <c r="J100" s="172"/>
      <c r="K100" s="172"/>
    </row>
    <row r="101" spans="2:11" ht="16.5" x14ac:dyDescent="0.3">
      <c r="B101" s="187" t="s">
        <v>158</v>
      </c>
      <c r="C101" s="188">
        <f>4620/5.7</f>
        <v>810.52631578947364</v>
      </c>
      <c r="D101" s="46"/>
      <c r="E101" s="171"/>
      <c r="F101" s="171"/>
      <c r="G101" s="171"/>
      <c r="H101" s="171"/>
      <c r="I101" s="172"/>
      <c r="J101" s="172"/>
      <c r="K101" s="172"/>
    </row>
    <row r="102" spans="2:11" ht="16.5" x14ac:dyDescent="0.3">
      <c r="B102" s="187" t="s">
        <v>158</v>
      </c>
      <c r="C102" s="188">
        <f>22242.88/5.7</f>
        <v>3902.2596491228069</v>
      </c>
      <c r="D102" s="46"/>
      <c r="E102" s="171"/>
      <c r="F102" s="171"/>
      <c r="G102" s="171"/>
      <c r="H102" s="171"/>
      <c r="I102" s="172"/>
      <c r="J102" s="172"/>
      <c r="K102" s="172"/>
    </row>
    <row r="103" spans="2:11" ht="16.5" x14ac:dyDescent="0.3">
      <c r="B103" s="187" t="s">
        <v>158</v>
      </c>
      <c r="C103" s="188">
        <f>18176/5.7</f>
        <v>3188.7719298245611</v>
      </c>
      <c r="D103" s="46"/>
      <c r="E103" s="171"/>
      <c r="F103" s="171"/>
      <c r="G103" s="171"/>
      <c r="H103" s="171"/>
      <c r="I103" s="172"/>
      <c r="J103" s="172"/>
      <c r="K103" s="172"/>
    </row>
    <row r="104" spans="2:11" ht="16.5" x14ac:dyDescent="0.3">
      <c r="B104" s="187" t="s">
        <v>158</v>
      </c>
      <c r="C104" s="188">
        <f>3570/5.7</f>
        <v>626.31578947368416</v>
      </c>
      <c r="D104" s="46"/>
      <c r="E104" s="171"/>
      <c r="F104" s="171"/>
      <c r="G104" s="171"/>
      <c r="H104" s="171"/>
      <c r="I104" s="172"/>
      <c r="J104" s="172"/>
      <c r="K104" s="172"/>
    </row>
    <row r="105" spans="2:11" ht="16.5" x14ac:dyDescent="0.3">
      <c r="B105" s="187" t="s">
        <v>158</v>
      </c>
      <c r="C105" s="188">
        <f>4820/5.7</f>
        <v>845.61403508771923</v>
      </c>
      <c r="D105" s="46"/>
      <c r="E105" s="171"/>
      <c r="F105" s="171"/>
      <c r="G105" s="171"/>
      <c r="H105" s="171"/>
      <c r="I105" s="172"/>
      <c r="J105" s="172"/>
      <c r="K105" s="172"/>
    </row>
    <row r="106" spans="2:11" ht="16.5" x14ac:dyDescent="0.3">
      <c r="B106" s="187" t="s">
        <v>158</v>
      </c>
      <c r="C106" s="188">
        <f>6085/5.7</f>
        <v>1067.5438596491229</v>
      </c>
      <c r="D106" s="46"/>
      <c r="E106" s="171"/>
      <c r="F106" s="171"/>
      <c r="G106" s="171"/>
      <c r="H106" s="171"/>
      <c r="I106" s="172"/>
      <c r="J106" s="172"/>
      <c r="K106" s="172"/>
    </row>
    <row r="107" spans="2:11" ht="16.5" x14ac:dyDescent="0.3">
      <c r="B107" s="187" t="s">
        <v>158</v>
      </c>
      <c r="C107" s="188">
        <f>13584.49/5.7</f>
        <v>2383.2438596491229</v>
      </c>
      <c r="D107" s="46"/>
      <c r="E107" s="171"/>
      <c r="F107" s="171"/>
      <c r="G107" s="171"/>
      <c r="H107" s="171"/>
      <c r="I107" s="172"/>
      <c r="J107" s="172"/>
      <c r="K107" s="172"/>
    </row>
    <row r="108" spans="2:11" ht="16.5" x14ac:dyDescent="0.3">
      <c r="B108" s="187" t="s">
        <v>158</v>
      </c>
      <c r="C108" s="188">
        <f>3831.27/5.7</f>
        <v>672.15263157894731</v>
      </c>
      <c r="D108" s="46"/>
      <c r="E108" s="171"/>
      <c r="F108" s="171"/>
      <c r="G108" s="171"/>
      <c r="H108" s="171"/>
      <c r="I108" s="172"/>
      <c r="J108" s="172"/>
      <c r="K108" s="172"/>
    </row>
    <row r="109" spans="2:11" x14ac:dyDescent="0.2">
      <c r="B109" s="51" t="s">
        <v>172</v>
      </c>
      <c r="C109" s="158">
        <v>9240</v>
      </c>
      <c r="D109" s="158"/>
      <c r="E109" s="171"/>
      <c r="F109" s="171"/>
      <c r="G109" s="171"/>
      <c r="H109" s="171"/>
      <c r="I109" s="172"/>
      <c r="J109" s="172"/>
      <c r="K109" s="172"/>
    </row>
    <row r="110" spans="2:11" x14ac:dyDescent="0.2">
      <c r="B110" s="46"/>
      <c r="C110" s="173"/>
      <c r="D110" s="173"/>
      <c r="E110" s="171"/>
      <c r="F110" s="171"/>
      <c r="G110" s="171"/>
      <c r="H110" s="171"/>
      <c r="I110" s="172"/>
      <c r="J110" s="172"/>
      <c r="K110" s="172"/>
    </row>
    <row r="111" spans="2:11" x14ac:dyDescent="0.2">
      <c r="B111" s="46"/>
      <c r="C111" s="173"/>
      <c r="D111" s="173"/>
      <c r="E111" s="171"/>
      <c r="F111" s="171"/>
      <c r="G111" s="171"/>
      <c r="H111" s="171"/>
      <c r="I111" s="172"/>
      <c r="J111" s="172"/>
      <c r="K111" s="172"/>
    </row>
    <row r="112" spans="2:11" ht="13.5" thickBot="1" x14ac:dyDescent="0.25">
      <c r="B112" s="62"/>
      <c r="C112" s="173"/>
      <c r="D112" s="173"/>
      <c r="E112" s="171"/>
      <c r="F112" s="171"/>
      <c r="G112" s="171"/>
      <c r="H112" s="171"/>
      <c r="I112" s="172"/>
      <c r="J112" s="172"/>
      <c r="K112" s="172"/>
    </row>
    <row r="113" spans="2:11" ht="13.5" thickBot="1" x14ac:dyDescent="0.25">
      <c r="B113" s="58" t="s">
        <v>16</v>
      </c>
      <c r="C113" s="38">
        <f>SUM(C78:C112)</f>
        <v>45317.243859649119</v>
      </c>
      <c r="D113" s="39">
        <f>SUM(D78:D112)</f>
        <v>0</v>
      </c>
      <c r="E113" s="39">
        <f>SUM(E78:E109)</f>
        <v>0</v>
      </c>
      <c r="F113" s="174"/>
      <c r="G113" s="174"/>
      <c r="H113" s="174"/>
      <c r="I113" s="175"/>
      <c r="J113" s="176"/>
      <c r="K113" s="176"/>
    </row>
    <row r="114" spans="2:11" x14ac:dyDescent="0.2">
      <c r="B114" s="18"/>
      <c r="C114" s="40"/>
      <c r="D114" s="40"/>
      <c r="E114" s="40"/>
      <c r="F114" s="40"/>
      <c r="G114" s="40"/>
      <c r="H114" s="40"/>
      <c r="I114" s="18"/>
      <c r="J114" s="18"/>
      <c r="K114" s="18"/>
    </row>
    <row r="115" spans="2:11" x14ac:dyDescent="0.2">
      <c r="B115" s="15" t="s">
        <v>31</v>
      </c>
      <c r="C115" s="41"/>
      <c r="D115" s="41"/>
      <c r="E115" s="41"/>
      <c r="F115" s="60"/>
      <c r="G115" s="60"/>
      <c r="H115" s="60"/>
      <c r="I115" s="46"/>
      <c r="J115" s="46"/>
      <c r="K115" s="46"/>
    </row>
    <row r="116" spans="2:11" x14ac:dyDescent="0.2">
      <c r="B116" s="54"/>
      <c r="C116" s="98"/>
      <c r="D116" s="98"/>
      <c r="E116" s="57"/>
      <c r="F116" s="57"/>
      <c r="G116" s="57"/>
      <c r="H116" s="60"/>
      <c r="I116" s="46"/>
      <c r="J116" s="46"/>
      <c r="K116" s="46"/>
    </row>
    <row r="117" spans="2:11" x14ac:dyDescent="0.2">
      <c r="B117" s="46"/>
      <c r="C117" s="57"/>
      <c r="D117" s="57"/>
      <c r="E117" s="57"/>
      <c r="F117" s="57"/>
      <c r="G117" s="57"/>
      <c r="H117" s="60"/>
      <c r="I117" s="46"/>
      <c r="J117" s="46"/>
      <c r="K117" s="46"/>
    </row>
    <row r="118" spans="2:11" x14ac:dyDescent="0.2">
      <c r="B118" s="46"/>
      <c r="C118" s="57"/>
      <c r="D118" s="57"/>
      <c r="E118" s="57"/>
      <c r="F118" s="57"/>
      <c r="G118" s="57"/>
      <c r="H118" s="60"/>
      <c r="I118" s="46"/>
      <c r="J118" s="46"/>
      <c r="K118" s="46"/>
    </row>
    <row r="119" spans="2:11" x14ac:dyDescent="0.2">
      <c r="B119" s="46"/>
      <c r="C119" s="57"/>
      <c r="D119" s="57"/>
      <c r="E119" s="57"/>
      <c r="F119" s="57"/>
      <c r="G119" s="57"/>
      <c r="H119" s="60"/>
      <c r="I119" s="46"/>
      <c r="J119" s="46"/>
      <c r="K119" s="46"/>
    </row>
    <row r="120" spans="2:11" x14ac:dyDescent="0.2">
      <c r="B120" s="46"/>
      <c r="C120" s="57"/>
      <c r="D120" s="57"/>
      <c r="E120" s="57"/>
      <c r="F120" s="57"/>
      <c r="G120" s="57"/>
      <c r="H120" s="60"/>
      <c r="I120" s="46"/>
      <c r="J120" s="46"/>
      <c r="K120" s="46"/>
    </row>
    <row r="121" spans="2:11" x14ac:dyDescent="0.2">
      <c r="B121" s="46"/>
      <c r="C121" s="57"/>
      <c r="D121" s="57"/>
      <c r="E121" s="57"/>
      <c r="F121" s="57"/>
      <c r="G121" s="57"/>
      <c r="H121" s="60"/>
      <c r="I121" s="46"/>
      <c r="J121" s="46"/>
      <c r="K121" s="46"/>
    </row>
    <row r="122" spans="2:11" x14ac:dyDescent="0.2">
      <c r="B122" s="46"/>
      <c r="C122" s="57"/>
      <c r="D122" s="57"/>
      <c r="E122" s="57"/>
      <c r="F122" s="57"/>
      <c r="G122" s="57"/>
      <c r="H122" s="60"/>
      <c r="I122" s="46"/>
      <c r="J122" s="46"/>
      <c r="K122" s="46"/>
    </row>
    <row r="123" spans="2:11" x14ac:dyDescent="0.2">
      <c r="B123" s="46"/>
      <c r="C123" s="57"/>
      <c r="D123" s="57"/>
      <c r="E123" s="57"/>
      <c r="F123" s="57"/>
      <c r="G123" s="57"/>
      <c r="H123" s="60"/>
      <c r="I123" s="46"/>
      <c r="J123" s="46"/>
      <c r="K123" s="46"/>
    </row>
    <row r="124" spans="2:11" x14ac:dyDescent="0.2">
      <c r="B124" s="46"/>
      <c r="C124" s="57"/>
      <c r="D124" s="57"/>
      <c r="E124" s="57"/>
      <c r="F124" s="57"/>
      <c r="G124" s="57"/>
      <c r="H124" s="60"/>
      <c r="I124" s="46"/>
      <c r="J124" s="46"/>
      <c r="K124" s="46"/>
    </row>
    <row r="125" spans="2:11" x14ac:dyDescent="0.2">
      <c r="B125" s="46"/>
      <c r="C125" s="57"/>
      <c r="D125" s="57"/>
      <c r="E125" s="57"/>
      <c r="F125" s="57"/>
      <c r="G125" s="57"/>
      <c r="H125" s="60"/>
      <c r="I125" s="46"/>
      <c r="J125" s="46"/>
      <c r="K125" s="46"/>
    </row>
    <row r="126" spans="2:11" x14ac:dyDescent="0.2">
      <c r="B126" s="46"/>
      <c r="C126" s="57"/>
      <c r="D126" s="57"/>
      <c r="E126" s="57"/>
      <c r="F126" s="57"/>
      <c r="G126" s="57"/>
      <c r="H126" s="60"/>
      <c r="I126" s="46"/>
      <c r="J126" s="46"/>
      <c r="K126" s="46"/>
    </row>
    <row r="127" spans="2:11" x14ac:dyDescent="0.2">
      <c r="B127" s="46"/>
      <c r="C127" s="57"/>
      <c r="D127" s="57"/>
      <c r="E127" s="57"/>
      <c r="F127" s="57"/>
      <c r="G127" s="57"/>
      <c r="H127" s="60"/>
      <c r="I127" s="46"/>
      <c r="J127" s="46"/>
      <c r="K127" s="46"/>
    </row>
    <row r="128" spans="2:11" ht="13.5" thickBot="1" x14ac:dyDescent="0.25">
      <c r="B128" s="56"/>
      <c r="C128" s="57"/>
      <c r="D128" s="57"/>
      <c r="E128" s="57"/>
      <c r="F128" s="60"/>
      <c r="G128" s="60"/>
      <c r="H128" s="60"/>
      <c r="I128" s="46"/>
      <c r="J128" s="46"/>
      <c r="K128" s="46"/>
    </row>
    <row r="129" spans="2:11" ht="13.5" thickBot="1" x14ac:dyDescent="0.25">
      <c r="B129" s="58" t="s">
        <v>16</v>
      </c>
      <c r="C129" s="61">
        <f>SUM(C116:C127)</f>
        <v>0</v>
      </c>
      <c r="D129" s="61">
        <f>SUM(D116:D128)</f>
        <v>0</v>
      </c>
      <c r="E129" s="61">
        <f>SUM(E116:E127)</f>
        <v>0</v>
      </c>
      <c r="F129" s="61">
        <f>SUM(F116:F118)</f>
        <v>0</v>
      </c>
      <c r="G129" s="39">
        <f>SUM(G116:G118)</f>
        <v>0</v>
      </c>
      <c r="H129" s="174"/>
      <c r="I129" s="175"/>
      <c r="J129" s="176"/>
      <c r="K129" s="176"/>
    </row>
    <row r="130" spans="2:11" x14ac:dyDescent="0.2">
      <c r="B130" s="18"/>
      <c r="C130" s="40"/>
      <c r="D130" s="40"/>
      <c r="E130" s="40"/>
      <c r="F130" s="40"/>
      <c r="G130" s="40"/>
      <c r="H130" s="40"/>
      <c r="I130" s="18"/>
      <c r="J130" s="18"/>
      <c r="K130" s="18"/>
    </row>
    <row r="131" spans="2:11" x14ac:dyDescent="0.2">
      <c r="B131" s="15" t="s">
        <v>32</v>
      </c>
      <c r="C131" s="41"/>
      <c r="D131" s="41"/>
      <c r="E131" s="41"/>
      <c r="F131" s="60"/>
      <c r="G131" s="60"/>
      <c r="H131" s="60"/>
      <c r="I131" s="46"/>
      <c r="J131" s="46"/>
      <c r="K131" s="157"/>
    </row>
    <row r="132" spans="2:11" x14ac:dyDescent="0.2">
      <c r="B132" s="46" t="s">
        <v>148</v>
      </c>
      <c r="C132" s="57">
        <f>7040/5.7</f>
        <v>1235.0877192982455</v>
      </c>
      <c r="D132" s="46"/>
      <c r="E132" s="41"/>
      <c r="F132" s="57"/>
      <c r="G132" s="57"/>
      <c r="H132" s="41"/>
      <c r="I132" s="46"/>
      <c r="J132" s="46"/>
      <c r="K132" s="157"/>
    </row>
    <row r="133" spans="2:11" x14ac:dyDescent="0.2">
      <c r="B133" s="46" t="s">
        <v>149</v>
      </c>
      <c r="C133" s="57">
        <f>61200/5.7</f>
        <v>10736.842105263158</v>
      </c>
      <c r="D133" s="46"/>
      <c r="E133" s="41"/>
      <c r="F133" s="57"/>
      <c r="G133" s="57"/>
      <c r="H133" s="41"/>
      <c r="I133" s="46"/>
      <c r="J133" s="46"/>
      <c r="K133" s="157"/>
    </row>
    <row r="134" spans="2:11" ht="16.5" x14ac:dyDescent="0.3">
      <c r="B134" s="187" t="s">
        <v>159</v>
      </c>
      <c r="C134" s="188">
        <f>1400/5.7</f>
        <v>245.61403508771929</v>
      </c>
      <c r="D134" s="46"/>
      <c r="E134" s="41"/>
      <c r="F134" s="57"/>
      <c r="G134" s="57"/>
      <c r="H134" s="41"/>
      <c r="I134" s="46"/>
      <c r="J134" s="46"/>
      <c r="K134" s="157"/>
    </row>
    <row r="135" spans="2:11" ht="16.5" x14ac:dyDescent="0.3">
      <c r="B135" s="187" t="s">
        <v>159</v>
      </c>
      <c r="C135" s="188">
        <f>1550/5.7</f>
        <v>271.92982456140351</v>
      </c>
      <c r="D135" s="46"/>
      <c r="E135" s="41"/>
      <c r="F135" s="57"/>
      <c r="G135" s="57"/>
      <c r="H135" s="41"/>
      <c r="I135" s="46"/>
      <c r="J135" s="46"/>
      <c r="K135" s="157"/>
    </row>
    <row r="136" spans="2:11" ht="16.5" x14ac:dyDescent="0.3">
      <c r="B136" s="187" t="s">
        <v>159</v>
      </c>
      <c r="C136" s="188">
        <f>930/5.7</f>
        <v>163.15789473684211</v>
      </c>
      <c r="D136" s="46"/>
      <c r="E136" s="41"/>
      <c r="F136" s="57"/>
      <c r="G136" s="57"/>
      <c r="H136" s="41"/>
      <c r="I136" s="46"/>
      <c r="J136" s="46"/>
      <c r="K136" s="157"/>
    </row>
    <row r="137" spans="2:11" ht="16.5" x14ac:dyDescent="0.3">
      <c r="B137" s="187" t="s">
        <v>159</v>
      </c>
      <c r="C137" s="188">
        <f>1750/5.7</f>
        <v>307.01754385964909</v>
      </c>
      <c r="D137" s="46"/>
      <c r="E137" s="41"/>
      <c r="F137" s="57"/>
      <c r="G137" s="57"/>
      <c r="H137" s="41"/>
      <c r="I137" s="46"/>
      <c r="J137" s="46"/>
      <c r="K137" s="157"/>
    </row>
    <row r="138" spans="2:11" ht="16.5" x14ac:dyDescent="0.3">
      <c r="B138" s="187" t="s">
        <v>159</v>
      </c>
      <c r="C138" s="188">
        <f>1050/5.7</f>
        <v>184.21052631578948</v>
      </c>
      <c r="D138" s="46"/>
      <c r="E138" s="41"/>
      <c r="F138" s="57"/>
      <c r="G138" s="57"/>
      <c r="H138" s="41"/>
      <c r="I138" s="46"/>
      <c r="J138" s="46"/>
      <c r="K138" s="157"/>
    </row>
    <row r="139" spans="2:11" ht="16.5" x14ac:dyDescent="0.3">
      <c r="B139" s="187" t="s">
        <v>159</v>
      </c>
      <c r="C139" s="188">
        <f>1550/5.7</f>
        <v>271.92982456140351</v>
      </c>
      <c r="D139" s="46"/>
      <c r="E139" s="41"/>
      <c r="F139" s="57"/>
      <c r="G139" s="57"/>
      <c r="H139" s="41"/>
      <c r="I139" s="46"/>
      <c r="J139" s="46"/>
      <c r="K139" s="157"/>
    </row>
    <row r="140" spans="2:11" ht="16.5" x14ac:dyDescent="0.3">
      <c r="B140" s="187" t="s">
        <v>159</v>
      </c>
      <c r="C140" s="188">
        <f>1240/5.7</f>
        <v>217.54385964912279</v>
      </c>
      <c r="D140" s="46"/>
      <c r="E140" s="41"/>
      <c r="F140" s="57"/>
      <c r="G140" s="57"/>
      <c r="H140" s="41"/>
      <c r="I140" s="46"/>
      <c r="J140" s="46"/>
      <c r="K140" s="157"/>
    </row>
    <row r="141" spans="2:11" ht="16.5" x14ac:dyDescent="0.3">
      <c r="B141" s="187" t="s">
        <v>159</v>
      </c>
      <c r="C141" s="188">
        <f>1240/5.7</f>
        <v>217.54385964912279</v>
      </c>
      <c r="D141" s="46"/>
      <c r="E141" s="41"/>
      <c r="F141" s="57"/>
      <c r="G141" s="57"/>
      <c r="H141" s="41"/>
      <c r="I141" s="46"/>
      <c r="J141" s="46"/>
      <c r="K141" s="157"/>
    </row>
    <row r="142" spans="2:11" ht="16.5" x14ac:dyDescent="0.3">
      <c r="B142" s="187" t="s">
        <v>160</v>
      </c>
      <c r="C142" s="188">
        <f>1050/5.7</f>
        <v>184.21052631578948</v>
      </c>
      <c r="D142" s="46"/>
      <c r="E142" s="41"/>
      <c r="F142" s="57"/>
      <c r="G142" s="57"/>
      <c r="H142" s="41"/>
      <c r="I142" s="46"/>
      <c r="J142" s="46"/>
      <c r="K142" s="157"/>
    </row>
    <row r="143" spans="2:11" ht="16.5" x14ac:dyDescent="0.3">
      <c r="B143" s="187" t="s">
        <v>160</v>
      </c>
      <c r="C143" s="188">
        <f>1050/5.7</f>
        <v>184.21052631578948</v>
      </c>
      <c r="D143" s="46"/>
      <c r="E143" s="41"/>
      <c r="F143" s="57"/>
      <c r="G143" s="57"/>
      <c r="H143" s="41"/>
      <c r="I143" s="46"/>
      <c r="J143" s="46"/>
      <c r="K143" s="157"/>
    </row>
    <row r="144" spans="2:11" ht="16.5" x14ac:dyDescent="0.3">
      <c r="B144" s="187" t="s">
        <v>161</v>
      </c>
      <c r="C144" s="188">
        <f>1500/5.7</f>
        <v>263.15789473684208</v>
      </c>
      <c r="D144" s="46"/>
      <c r="E144" s="41"/>
      <c r="F144" s="57"/>
      <c r="G144" s="57"/>
      <c r="H144" s="41"/>
      <c r="I144" s="46"/>
      <c r="J144" s="46"/>
      <c r="K144" s="157"/>
    </row>
    <row r="145" spans="2:11" ht="16.5" x14ac:dyDescent="0.3">
      <c r="B145" s="187" t="s">
        <v>161</v>
      </c>
      <c r="C145" s="188">
        <f>1500/5.7</f>
        <v>263.15789473684208</v>
      </c>
      <c r="D145" s="46"/>
      <c r="E145" s="41"/>
      <c r="F145" s="57"/>
      <c r="G145" s="57"/>
      <c r="H145" s="41"/>
      <c r="I145" s="46"/>
      <c r="J145" s="46"/>
      <c r="K145" s="157"/>
    </row>
    <row r="146" spans="2:11" ht="16.5" x14ac:dyDescent="0.3">
      <c r="B146" s="187" t="s">
        <v>162</v>
      </c>
      <c r="C146" s="188">
        <f>1100/5.7</f>
        <v>192.98245614035088</v>
      </c>
      <c r="D146" s="46"/>
      <c r="E146" s="41"/>
      <c r="F146" s="57"/>
      <c r="G146" s="57"/>
      <c r="H146" s="41"/>
      <c r="I146" s="46"/>
      <c r="J146" s="46"/>
      <c r="K146" s="157"/>
    </row>
    <row r="147" spans="2:11" ht="16.5" x14ac:dyDescent="0.3">
      <c r="B147" s="187" t="s">
        <v>162</v>
      </c>
      <c r="C147" s="188">
        <f>1100/5.7</f>
        <v>192.98245614035088</v>
      </c>
      <c r="D147" s="46"/>
      <c r="E147" s="41"/>
      <c r="F147" s="57"/>
      <c r="G147" s="57"/>
      <c r="H147" s="41"/>
      <c r="I147" s="46"/>
      <c r="J147" s="46"/>
      <c r="K147" s="157"/>
    </row>
    <row r="148" spans="2:11" ht="16.5" x14ac:dyDescent="0.3">
      <c r="B148" s="187" t="s">
        <v>162</v>
      </c>
      <c r="C148" s="188">
        <f>1100/5.7</f>
        <v>192.98245614035088</v>
      </c>
      <c r="D148" s="46"/>
      <c r="E148" s="41"/>
      <c r="F148" s="57"/>
      <c r="G148" s="57"/>
      <c r="H148" s="41"/>
      <c r="I148" s="46"/>
      <c r="J148" s="46"/>
      <c r="K148" s="157"/>
    </row>
    <row r="149" spans="2:11" ht="16.5" x14ac:dyDescent="0.3">
      <c r="B149" s="187" t="s">
        <v>162</v>
      </c>
      <c r="C149" s="188">
        <f>900/5.7</f>
        <v>157.89473684210526</v>
      </c>
      <c r="D149" s="46"/>
      <c r="E149" s="41"/>
      <c r="F149" s="57"/>
      <c r="G149" s="57"/>
      <c r="H149" s="41"/>
      <c r="I149" s="46"/>
      <c r="J149" s="46"/>
      <c r="K149" s="157"/>
    </row>
    <row r="150" spans="2:11" ht="16.5" x14ac:dyDescent="0.3">
      <c r="B150" s="187" t="s">
        <v>162</v>
      </c>
      <c r="C150" s="188">
        <f>900/5.7</f>
        <v>157.89473684210526</v>
      </c>
      <c r="D150" s="46"/>
      <c r="E150" s="41"/>
      <c r="F150" s="57"/>
      <c r="G150" s="57"/>
      <c r="H150" s="41"/>
      <c r="I150" s="46"/>
      <c r="J150" s="46"/>
      <c r="K150" s="157"/>
    </row>
    <row r="151" spans="2:11" ht="16.5" x14ac:dyDescent="0.3">
      <c r="B151" s="187" t="s">
        <v>162</v>
      </c>
      <c r="C151" s="188">
        <f>900/5.7</f>
        <v>157.89473684210526</v>
      </c>
      <c r="D151" s="46"/>
      <c r="E151" s="41"/>
      <c r="F151" s="57"/>
      <c r="G151" s="57"/>
      <c r="H151" s="41"/>
      <c r="I151" s="46"/>
      <c r="J151" s="46"/>
      <c r="K151" s="157"/>
    </row>
    <row r="152" spans="2:11" ht="16.5" x14ac:dyDescent="0.3">
      <c r="B152" s="187" t="s">
        <v>161</v>
      </c>
      <c r="C152" s="188">
        <f>1500/5.7</f>
        <v>263.15789473684208</v>
      </c>
      <c r="D152" s="46"/>
      <c r="E152" s="41"/>
      <c r="F152" s="57"/>
      <c r="G152" s="57"/>
      <c r="H152" s="41"/>
      <c r="I152" s="46"/>
      <c r="J152" s="46"/>
      <c r="K152" s="157"/>
    </row>
    <row r="153" spans="2:11" ht="16.5" x14ac:dyDescent="0.3">
      <c r="B153" s="187" t="s">
        <v>161</v>
      </c>
      <c r="C153" s="188">
        <f>1000/5.7</f>
        <v>175.43859649122805</v>
      </c>
      <c r="D153" s="46"/>
      <c r="E153" s="41"/>
      <c r="F153" s="57"/>
      <c r="G153" s="57"/>
      <c r="H153" s="41"/>
      <c r="I153" s="46"/>
      <c r="J153" s="46"/>
      <c r="K153" s="157"/>
    </row>
    <row r="154" spans="2:11" ht="16.5" x14ac:dyDescent="0.3">
      <c r="B154" s="187" t="s">
        <v>167</v>
      </c>
      <c r="C154" s="188">
        <f>840/5.7</f>
        <v>147.36842105263156</v>
      </c>
      <c r="D154" s="46"/>
      <c r="E154" s="41"/>
      <c r="F154" s="57"/>
      <c r="G154" s="57"/>
      <c r="H154" s="41"/>
      <c r="I154" s="46"/>
      <c r="J154" s="46"/>
      <c r="K154" s="157"/>
    </row>
    <row r="155" spans="2:11" ht="16.5" x14ac:dyDescent="0.3">
      <c r="B155" s="187" t="s">
        <v>167</v>
      </c>
      <c r="C155" s="188">
        <f>630/5.7</f>
        <v>110.52631578947368</v>
      </c>
      <c r="D155" s="46"/>
      <c r="E155" s="41"/>
      <c r="F155" s="57"/>
      <c r="G155" s="57"/>
      <c r="H155" s="41"/>
      <c r="I155" s="46"/>
      <c r="J155" s="46"/>
      <c r="K155" s="157"/>
    </row>
    <row r="156" spans="2:11" ht="16.5" x14ac:dyDescent="0.3">
      <c r="B156" s="187" t="s">
        <v>162</v>
      </c>
      <c r="C156" s="188">
        <f>1100/5.7</f>
        <v>192.98245614035088</v>
      </c>
      <c r="D156" s="46"/>
      <c r="E156" s="41"/>
      <c r="F156" s="57"/>
      <c r="G156" s="57"/>
      <c r="H156" s="41"/>
      <c r="I156" s="46"/>
      <c r="J156" s="46"/>
      <c r="K156" s="157"/>
    </row>
    <row r="157" spans="2:11" ht="16.5" x14ac:dyDescent="0.3">
      <c r="B157" s="187" t="s">
        <v>162</v>
      </c>
      <c r="C157" s="188">
        <f>900/5.7</f>
        <v>157.89473684210526</v>
      </c>
      <c r="D157" s="46"/>
      <c r="E157" s="41"/>
      <c r="F157" s="57"/>
      <c r="G157" s="57"/>
      <c r="H157" s="41"/>
      <c r="I157" s="46"/>
      <c r="J157" s="46"/>
      <c r="K157" s="157"/>
    </row>
    <row r="158" spans="2:11" ht="13.5" thickBot="1" x14ac:dyDescent="0.25">
      <c r="B158" s="56"/>
      <c r="C158" s="41"/>
      <c r="D158" s="41"/>
      <c r="E158" s="41"/>
      <c r="F158" s="60"/>
      <c r="G158" s="60"/>
      <c r="H158" s="60"/>
      <c r="I158" s="46"/>
      <c r="J158" s="46"/>
      <c r="K158" s="157"/>
    </row>
    <row r="159" spans="2:11" ht="13.5" thickBot="1" x14ac:dyDescent="0.25">
      <c r="B159" s="58" t="s">
        <v>16</v>
      </c>
      <c r="C159" s="39">
        <f>SUM(C132:C158)</f>
        <v>16845.614035087718</v>
      </c>
      <c r="D159" s="39">
        <f>SUM(D132:D158)</f>
        <v>0</v>
      </c>
      <c r="E159" s="39">
        <f>SUM(E132)</f>
        <v>0</v>
      </c>
      <c r="F159" s="39">
        <f>SUM(F132)</f>
        <v>0</v>
      </c>
      <c r="G159" s="39">
        <f>SUM(G132)</f>
        <v>0</v>
      </c>
      <c r="H159" s="174">
        <f>F159-G159</f>
        <v>0</v>
      </c>
      <c r="I159" s="175"/>
      <c r="J159" s="176"/>
      <c r="K159" s="176"/>
    </row>
    <row r="160" spans="2:11" x14ac:dyDescent="0.2">
      <c r="B160" s="18"/>
      <c r="C160" s="40"/>
      <c r="D160" s="40"/>
      <c r="E160" s="40"/>
      <c r="F160" s="40"/>
      <c r="G160" s="40"/>
      <c r="H160" s="40"/>
      <c r="I160" s="18"/>
      <c r="J160" s="18"/>
      <c r="K160" s="18"/>
    </row>
    <row r="161" spans="2:11" x14ac:dyDescent="0.2">
      <c r="B161" s="15" t="s">
        <v>33</v>
      </c>
      <c r="C161" s="189"/>
      <c r="D161" s="189"/>
      <c r="E161" s="41"/>
      <c r="F161" s="60"/>
      <c r="G161" s="60"/>
      <c r="H161" s="60"/>
      <c r="I161" s="46"/>
      <c r="J161" s="46"/>
      <c r="K161" s="157"/>
    </row>
    <row r="162" spans="2:11" ht="16.5" x14ac:dyDescent="0.3">
      <c r="B162" s="187" t="s">
        <v>95</v>
      </c>
      <c r="C162" s="188">
        <f>996.28/5.7</f>
        <v>174.78596491228069</v>
      </c>
      <c r="D162" s="46"/>
      <c r="E162" s="41"/>
      <c r="F162" s="57"/>
      <c r="G162" s="57"/>
      <c r="H162" s="41"/>
      <c r="I162" s="46"/>
      <c r="J162" s="46"/>
      <c r="K162" s="157"/>
    </row>
    <row r="163" spans="2:11" ht="16.5" x14ac:dyDescent="0.3">
      <c r="B163" s="187" t="s">
        <v>96</v>
      </c>
      <c r="C163" s="188">
        <f>2825/5.7</f>
        <v>495.61403508771929</v>
      </c>
      <c r="D163" s="46"/>
      <c r="E163" s="41"/>
      <c r="F163" s="57"/>
      <c r="G163" s="57"/>
      <c r="H163" s="41"/>
      <c r="I163" s="46"/>
      <c r="J163" s="46"/>
      <c r="K163" s="157"/>
    </row>
    <row r="164" spans="2:11" ht="16.5" x14ac:dyDescent="0.3">
      <c r="B164" s="187" t="s">
        <v>97</v>
      </c>
      <c r="C164" s="188">
        <f>550/5.7</f>
        <v>96.491228070175438</v>
      </c>
      <c r="D164" s="46"/>
      <c r="E164" s="41"/>
      <c r="F164" s="57"/>
      <c r="G164" s="57"/>
      <c r="H164" s="41"/>
      <c r="I164" s="46"/>
      <c r="J164" s="46"/>
      <c r="K164" s="157"/>
    </row>
    <row r="165" spans="2:11" ht="16.5" x14ac:dyDescent="0.3">
      <c r="B165" s="187" t="str">
        <f>B164</f>
        <v>Payment to attend a Meeting at Ministry of Energy</v>
      </c>
      <c r="C165" s="188">
        <f>550/5.7</f>
        <v>96.491228070175438</v>
      </c>
      <c r="D165" s="46"/>
      <c r="E165" s="41"/>
      <c r="F165" s="57"/>
      <c r="G165" s="57"/>
      <c r="H165" s="41"/>
      <c r="I165" s="46"/>
      <c r="J165" s="46"/>
      <c r="K165" s="157"/>
    </row>
    <row r="166" spans="2:11" ht="16.5" x14ac:dyDescent="0.3">
      <c r="B166" s="187" t="s">
        <v>98</v>
      </c>
      <c r="C166" s="188">
        <f>450/5.7</f>
        <v>78.94736842105263</v>
      </c>
      <c r="D166" s="46"/>
      <c r="E166" s="41"/>
      <c r="F166" s="57"/>
      <c r="G166" s="57"/>
      <c r="H166" s="41"/>
      <c r="I166" s="46"/>
      <c r="J166" s="46"/>
      <c r="K166" s="157"/>
    </row>
    <row r="167" spans="2:11" ht="16.5" x14ac:dyDescent="0.3">
      <c r="B167" s="187" t="s">
        <v>99</v>
      </c>
      <c r="C167" s="188">
        <f>600/5.7</f>
        <v>105.26315789473684</v>
      </c>
      <c r="D167" s="46"/>
      <c r="E167" s="41"/>
      <c r="F167" s="57"/>
      <c r="G167" s="57"/>
      <c r="H167" s="41"/>
      <c r="I167" s="46"/>
      <c r="J167" s="46"/>
      <c r="K167" s="157"/>
    </row>
    <row r="168" spans="2:11" ht="16.5" x14ac:dyDescent="0.3">
      <c r="B168" s="187" t="s">
        <v>100</v>
      </c>
      <c r="C168" s="188">
        <f>660/5.7</f>
        <v>115.78947368421052</v>
      </c>
      <c r="D168" s="46"/>
      <c r="E168" s="41"/>
      <c r="F168" s="57"/>
      <c r="G168" s="57"/>
      <c r="H168" s="41"/>
      <c r="I168" s="46"/>
      <c r="J168" s="46"/>
      <c r="K168" s="157"/>
    </row>
    <row r="169" spans="2:11" ht="16.5" x14ac:dyDescent="0.3">
      <c r="B169" s="187" t="s">
        <v>101</v>
      </c>
      <c r="C169" s="188">
        <f>45000/5.7</f>
        <v>7894.7368421052633</v>
      </c>
      <c r="D169" s="46"/>
      <c r="E169" s="41"/>
      <c r="F169" s="57"/>
      <c r="G169" s="57"/>
      <c r="H169" s="41"/>
      <c r="I169" s="46"/>
      <c r="J169" s="46"/>
      <c r="K169" s="157"/>
    </row>
    <row r="170" spans="2:11" ht="16.5" x14ac:dyDescent="0.3">
      <c r="B170" s="187" t="s">
        <v>102</v>
      </c>
      <c r="C170" s="188">
        <f>1375.25/5.7</f>
        <v>241.2719298245614</v>
      </c>
      <c r="D170" s="46"/>
      <c r="E170" s="41"/>
      <c r="F170" s="57"/>
      <c r="G170" s="57"/>
      <c r="H170" s="41"/>
      <c r="I170" s="46"/>
      <c r="J170" s="46"/>
      <c r="K170" s="157"/>
    </row>
    <row r="171" spans="2:11" ht="16.5" x14ac:dyDescent="0.3">
      <c r="B171" s="187" t="s">
        <v>106</v>
      </c>
      <c r="C171" s="188">
        <f>220/5.7</f>
        <v>38.596491228070171</v>
      </c>
      <c r="D171" s="46"/>
      <c r="E171" s="41"/>
      <c r="F171" s="57"/>
      <c r="G171" s="57"/>
      <c r="H171" s="41"/>
      <c r="I171" s="46"/>
      <c r="J171" s="46"/>
      <c r="K171" s="157"/>
    </row>
    <row r="172" spans="2:11" ht="16.5" x14ac:dyDescent="0.3">
      <c r="B172" s="188" t="s">
        <v>110</v>
      </c>
      <c r="C172" s="188">
        <f>1000/5.7</f>
        <v>175.43859649122805</v>
      </c>
      <c r="D172" s="46"/>
      <c r="E172" s="41"/>
      <c r="F172" s="57"/>
      <c r="G172" s="57"/>
      <c r="H172" s="41"/>
      <c r="I172" s="46"/>
      <c r="J172" s="46"/>
      <c r="K172" s="157"/>
    </row>
    <row r="173" spans="2:11" ht="16.5" x14ac:dyDescent="0.3">
      <c r="B173" s="187" t="s">
        <v>112</v>
      </c>
      <c r="C173" s="188">
        <f>226.43/5.7</f>
        <v>39.724561403508773</v>
      </c>
      <c r="D173" s="60"/>
      <c r="E173" s="41"/>
      <c r="F173" s="57"/>
      <c r="G173" s="57"/>
      <c r="H173" s="41"/>
      <c r="I173" s="46"/>
      <c r="J173" s="46"/>
      <c r="K173" s="157"/>
    </row>
    <row r="174" spans="2:11" ht="16.5" x14ac:dyDescent="0.3">
      <c r="B174" s="187" t="s">
        <v>113</v>
      </c>
      <c r="C174" s="188">
        <f>912.49/5.7</f>
        <v>160.0859649122807</v>
      </c>
      <c r="D174" s="46"/>
      <c r="E174" s="41"/>
      <c r="F174" s="57"/>
      <c r="G174" s="57"/>
      <c r="H174" s="41"/>
      <c r="I174" s="46"/>
      <c r="J174" s="46"/>
      <c r="K174" s="157"/>
    </row>
    <row r="175" spans="2:11" ht="16.5" x14ac:dyDescent="0.3">
      <c r="B175" s="187" t="str">
        <f>B174</f>
        <v xml:space="preserve"> Payment of Salaries to RCEES Staff for the month of July,2020</v>
      </c>
      <c r="C175" s="188">
        <f>9907.57/5.7</f>
        <v>1738.1701754385963</v>
      </c>
      <c r="D175" s="46"/>
      <c r="E175" s="41"/>
      <c r="F175" s="57"/>
      <c r="G175" s="57"/>
      <c r="H175" s="41"/>
      <c r="I175" s="46"/>
      <c r="J175" s="46"/>
      <c r="K175" s="157"/>
    </row>
    <row r="176" spans="2:11" ht="16.5" x14ac:dyDescent="0.3">
      <c r="B176" s="187" t="str">
        <f>B175</f>
        <v xml:space="preserve"> Payment of Salaries to RCEES Staff for the month of July,2020</v>
      </c>
      <c r="C176" s="188">
        <f>1601.43/5.7</f>
        <v>280.95263157894738</v>
      </c>
      <c r="D176" s="46"/>
      <c r="E176" s="41"/>
      <c r="F176" s="57"/>
      <c r="G176" s="57"/>
      <c r="H176" s="41"/>
      <c r="I176" s="46"/>
      <c r="J176" s="46"/>
      <c r="K176" s="157"/>
    </row>
    <row r="177" spans="2:11" ht="16.5" x14ac:dyDescent="0.3">
      <c r="B177" s="187" t="str">
        <f>B176</f>
        <v xml:space="preserve"> Payment of Salaries to RCEES Staff for the month of July,2020</v>
      </c>
      <c r="C177" s="188">
        <f>2749.09/5.7</f>
        <v>482.29649122807018</v>
      </c>
      <c r="D177" s="46"/>
      <c r="E177" s="41"/>
      <c r="F177" s="57"/>
      <c r="G177" s="57"/>
      <c r="H177" s="41"/>
      <c r="I177" s="46"/>
      <c r="J177" s="46"/>
      <c r="K177" s="157"/>
    </row>
    <row r="178" spans="2:11" ht="16.5" x14ac:dyDescent="0.3">
      <c r="B178" s="187" t="str">
        <f>B177</f>
        <v xml:space="preserve"> Payment of Salaries to RCEES Staff for the month of July,2020</v>
      </c>
      <c r="C178" s="188">
        <f>1288.94/5.7</f>
        <v>226.12982456140352</v>
      </c>
      <c r="D178" s="46"/>
      <c r="E178" s="41"/>
      <c r="F178" s="57"/>
      <c r="G178" s="57"/>
      <c r="H178" s="41"/>
      <c r="I178" s="46"/>
      <c r="J178" s="46"/>
      <c r="K178" s="157"/>
    </row>
    <row r="179" spans="2:11" ht="16.5" x14ac:dyDescent="0.3">
      <c r="B179" s="187" t="s">
        <v>115</v>
      </c>
      <c r="C179" s="188">
        <f>990.24/5.7</f>
        <v>173.72631578947369</v>
      </c>
      <c r="D179" s="46"/>
      <c r="E179" s="41"/>
      <c r="F179" s="57"/>
      <c r="G179" s="57"/>
      <c r="H179" s="41"/>
      <c r="I179" s="46"/>
      <c r="J179" s="46"/>
      <c r="K179" s="157"/>
    </row>
    <row r="180" spans="2:11" ht="16.5" x14ac:dyDescent="0.3">
      <c r="B180" s="187" t="s">
        <v>116</v>
      </c>
      <c r="C180" s="188">
        <f>1000/5.7</f>
        <v>175.43859649122805</v>
      </c>
      <c r="D180" s="46"/>
      <c r="E180" s="41"/>
      <c r="F180" s="57"/>
      <c r="G180" s="57"/>
      <c r="H180" s="41"/>
      <c r="I180" s="46"/>
      <c r="J180" s="46"/>
      <c r="K180" s="157"/>
    </row>
    <row r="181" spans="2:11" ht="16.5" x14ac:dyDescent="0.3">
      <c r="B181" s="187" t="s">
        <v>118</v>
      </c>
      <c r="C181" s="188">
        <f>2100/5.7</f>
        <v>368.42105263157896</v>
      </c>
      <c r="D181" s="46"/>
      <c r="E181" s="41"/>
      <c r="F181" s="57"/>
      <c r="G181" s="57"/>
      <c r="H181" s="41"/>
      <c r="I181" s="46"/>
      <c r="J181" s="46"/>
      <c r="K181" s="157"/>
    </row>
    <row r="182" spans="2:11" ht="16.5" x14ac:dyDescent="0.3">
      <c r="B182" s="187" t="s">
        <v>127</v>
      </c>
      <c r="C182" s="188">
        <f>2833/5.7</f>
        <v>497.01754385964909</v>
      </c>
      <c r="D182" s="46"/>
      <c r="E182" s="41"/>
      <c r="F182" s="57"/>
      <c r="G182" s="57"/>
      <c r="H182" s="41"/>
      <c r="I182" s="46"/>
      <c r="J182" s="46"/>
      <c r="K182" s="157"/>
    </row>
    <row r="183" spans="2:11" ht="16.5" x14ac:dyDescent="0.3">
      <c r="B183" s="187" t="s">
        <v>127</v>
      </c>
      <c r="C183" s="188">
        <f>2600/5.7</f>
        <v>456.14035087719299</v>
      </c>
      <c r="D183" s="46"/>
      <c r="E183" s="41"/>
      <c r="F183" s="57"/>
      <c r="G183" s="57"/>
      <c r="H183" s="41"/>
      <c r="I183" s="46"/>
      <c r="J183" s="46"/>
      <c r="K183" s="157"/>
    </row>
    <row r="184" spans="2:11" ht="16.5" x14ac:dyDescent="0.3">
      <c r="B184" s="187" t="s">
        <v>127</v>
      </c>
      <c r="C184" s="188">
        <f>2100/5.7</f>
        <v>368.42105263157896</v>
      </c>
      <c r="D184" s="46"/>
      <c r="E184" s="41"/>
      <c r="F184" s="57"/>
      <c r="G184" s="57"/>
      <c r="H184" s="41"/>
      <c r="I184" s="46"/>
      <c r="J184" s="46"/>
      <c r="K184" s="157"/>
    </row>
    <row r="185" spans="2:11" ht="16.5" x14ac:dyDescent="0.3">
      <c r="B185" s="187" t="s">
        <v>173</v>
      </c>
      <c r="C185" s="188">
        <f>800/5.7</f>
        <v>140.35087719298244</v>
      </c>
      <c r="D185" s="46"/>
      <c r="E185" s="41"/>
      <c r="F185" s="57"/>
      <c r="G185" s="57"/>
      <c r="H185" s="41"/>
      <c r="I185" s="46"/>
      <c r="J185" s="46"/>
      <c r="K185" s="157"/>
    </row>
    <row r="186" spans="2:11" ht="16.5" x14ac:dyDescent="0.3">
      <c r="B186" s="187" t="s">
        <v>117</v>
      </c>
      <c r="C186" s="188">
        <f>3220/5.7</f>
        <v>564.91228070175441</v>
      </c>
      <c r="D186" s="46"/>
      <c r="E186" s="41"/>
      <c r="F186" s="57"/>
      <c r="G186" s="57"/>
      <c r="H186" s="41"/>
      <c r="I186" s="46"/>
      <c r="J186" s="46"/>
      <c r="K186" s="157"/>
    </row>
    <row r="187" spans="2:11" ht="16.5" x14ac:dyDescent="0.3">
      <c r="B187" s="187" t="str">
        <f>B186</f>
        <v>Payment For Training Course</v>
      </c>
      <c r="C187" s="188">
        <f>3850/5.7</f>
        <v>675.43859649122805</v>
      </c>
      <c r="D187" s="46"/>
      <c r="E187" s="41"/>
      <c r="F187" s="57"/>
      <c r="G187" s="57"/>
      <c r="H187" s="41"/>
      <c r="I187" s="46"/>
      <c r="J187" s="46"/>
      <c r="K187" s="157"/>
    </row>
    <row r="188" spans="2:11" ht="16.5" x14ac:dyDescent="0.3">
      <c r="B188" s="187" t="str">
        <f>B187</f>
        <v>Payment For Training Course</v>
      </c>
      <c r="C188" s="188">
        <f>3850/5.7</f>
        <v>675.43859649122805</v>
      </c>
      <c r="D188" s="46"/>
      <c r="E188" s="41"/>
      <c r="F188" s="57"/>
      <c r="G188" s="57"/>
      <c r="H188" s="41"/>
      <c r="I188" s="46"/>
      <c r="J188" s="46"/>
      <c r="K188" s="157"/>
    </row>
    <row r="189" spans="2:11" ht="16.5" x14ac:dyDescent="0.3">
      <c r="B189" s="187" t="s">
        <v>120</v>
      </c>
      <c r="C189" s="188">
        <f>48.21/5.7</f>
        <v>8.4578947368421051</v>
      </c>
      <c r="D189" s="57"/>
      <c r="E189" s="41"/>
      <c r="F189" s="57"/>
      <c r="G189" s="57"/>
      <c r="H189" s="41"/>
      <c r="I189" s="46"/>
      <c r="J189" s="46"/>
      <c r="K189" s="157"/>
    </row>
    <row r="190" spans="2:11" s="184" customFormat="1" ht="16.5" x14ac:dyDescent="0.3">
      <c r="B190" s="187" t="s">
        <v>124</v>
      </c>
      <c r="C190" s="188">
        <f>912.49/5.7</f>
        <v>160.0859649122807</v>
      </c>
      <c r="D190" s="172"/>
      <c r="E190" s="183"/>
      <c r="F190" s="173"/>
      <c r="G190" s="173"/>
      <c r="H190" s="183"/>
      <c r="I190" s="172"/>
      <c r="J190" s="172"/>
      <c r="K190" s="101"/>
    </row>
    <row r="191" spans="2:11" ht="16.5" x14ac:dyDescent="0.3">
      <c r="B191" s="187" t="s">
        <v>124</v>
      </c>
      <c r="C191" s="188">
        <f>9587.57/5.7</f>
        <v>1682.0298245614033</v>
      </c>
      <c r="D191" s="46"/>
      <c r="E191" s="41"/>
      <c r="F191" s="57"/>
      <c r="G191" s="57"/>
      <c r="H191" s="41"/>
      <c r="I191" s="46"/>
      <c r="J191" s="46"/>
      <c r="K191" s="157"/>
    </row>
    <row r="192" spans="2:11" ht="16.5" x14ac:dyDescent="0.3">
      <c r="B192" s="187" t="s">
        <v>124</v>
      </c>
      <c r="C192" s="188">
        <f>1601.43/5.7</f>
        <v>280.95263157894738</v>
      </c>
      <c r="D192" s="46"/>
      <c r="E192" s="41"/>
      <c r="F192" s="57"/>
      <c r="G192" s="57"/>
      <c r="H192" s="41"/>
      <c r="I192" s="46"/>
      <c r="J192" s="46"/>
      <c r="K192" s="157"/>
    </row>
    <row r="193" spans="2:11" ht="16.5" x14ac:dyDescent="0.3">
      <c r="B193" s="187" t="s">
        <v>125</v>
      </c>
      <c r="C193" s="188">
        <f>2749.09/5.7</f>
        <v>482.29649122807018</v>
      </c>
      <c r="D193" s="46"/>
      <c r="E193" s="41"/>
      <c r="F193" s="57"/>
      <c r="G193" s="57"/>
      <c r="H193" s="41"/>
      <c r="I193" s="46"/>
      <c r="J193" s="46"/>
      <c r="K193" s="157"/>
    </row>
    <row r="194" spans="2:11" ht="16.5" x14ac:dyDescent="0.3">
      <c r="B194" s="187" t="s">
        <v>124</v>
      </c>
      <c r="C194" s="188">
        <f>1608.94/5.7</f>
        <v>282.27017543859648</v>
      </c>
      <c r="D194" s="46"/>
      <c r="E194" s="41"/>
      <c r="F194" s="57"/>
      <c r="G194" s="57"/>
      <c r="H194" s="41"/>
      <c r="I194" s="46"/>
      <c r="J194" s="46"/>
      <c r="K194" s="157"/>
    </row>
    <row r="195" spans="2:11" ht="16.5" x14ac:dyDescent="0.3">
      <c r="B195" s="187" t="s">
        <v>126</v>
      </c>
      <c r="C195" s="188">
        <f>36811/5.7</f>
        <v>6458.0701754385964</v>
      </c>
      <c r="D195" s="46"/>
      <c r="E195" s="41"/>
      <c r="F195" s="57"/>
      <c r="G195" s="57"/>
      <c r="H195" s="41"/>
      <c r="I195" s="46"/>
      <c r="J195" s="46"/>
      <c r="K195" s="157"/>
    </row>
    <row r="196" spans="2:11" ht="16.5" x14ac:dyDescent="0.3">
      <c r="B196" s="187" t="s">
        <v>128</v>
      </c>
      <c r="C196" s="188">
        <f>912.49/5.7</f>
        <v>160.0859649122807</v>
      </c>
      <c r="D196" s="46"/>
      <c r="E196" s="41"/>
      <c r="F196" s="57"/>
      <c r="G196" s="57"/>
      <c r="H196" s="41"/>
      <c r="I196" s="46"/>
      <c r="J196" s="46"/>
      <c r="K196" s="157"/>
    </row>
    <row r="197" spans="2:11" ht="16.5" x14ac:dyDescent="0.3">
      <c r="B197" s="187" t="s">
        <v>128</v>
      </c>
      <c r="C197" s="188">
        <f>9587.57/5.7</f>
        <v>1682.0298245614033</v>
      </c>
      <c r="D197" s="46"/>
      <c r="E197" s="41"/>
      <c r="F197" s="57"/>
      <c r="G197" s="57"/>
      <c r="H197" s="41"/>
      <c r="I197" s="46"/>
      <c r="J197" s="46"/>
      <c r="K197" s="157"/>
    </row>
    <row r="198" spans="2:11" ht="16.5" x14ac:dyDescent="0.3">
      <c r="B198" s="187" t="s">
        <v>128</v>
      </c>
      <c r="C198" s="188">
        <f>1601.43/5.7</f>
        <v>280.95263157894738</v>
      </c>
      <c r="D198" s="46"/>
      <c r="E198" s="41"/>
      <c r="F198" s="57"/>
      <c r="G198" s="57"/>
      <c r="H198" s="41"/>
      <c r="I198" s="46"/>
      <c r="J198" s="46"/>
      <c r="K198" s="157"/>
    </row>
    <row r="199" spans="2:11" ht="16.5" x14ac:dyDescent="0.3">
      <c r="B199" s="187" t="s">
        <v>129</v>
      </c>
      <c r="C199" s="188">
        <f>2749.09/5.7</f>
        <v>482.29649122807018</v>
      </c>
      <c r="D199" s="46"/>
      <c r="E199" s="41"/>
      <c r="F199" s="57"/>
      <c r="G199" s="57"/>
      <c r="H199" s="41"/>
      <c r="I199" s="46"/>
      <c r="J199" s="46"/>
      <c r="K199" s="157"/>
    </row>
    <row r="200" spans="2:11" ht="16.5" x14ac:dyDescent="0.3">
      <c r="B200" s="187" t="s">
        <v>128</v>
      </c>
      <c r="C200" s="188">
        <f>1608.94/5.7</f>
        <v>282.27017543859648</v>
      </c>
      <c r="D200" s="46"/>
      <c r="E200" s="41"/>
      <c r="F200" s="57"/>
      <c r="G200" s="57"/>
      <c r="H200" s="41"/>
      <c r="I200" s="46"/>
      <c r="J200" s="46"/>
      <c r="K200" s="157"/>
    </row>
    <row r="201" spans="2:11" ht="16.5" x14ac:dyDescent="0.3">
      <c r="B201" s="187" t="s">
        <v>130</v>
      </c>
      <c r="C201" s="188">
        <f>991.34/5.7</f>
        <v>173.91929824561404</v>
      </c>
      <c r="D201" s="46"/>
      <c r="E201" s="41"/>
      <c r="F201" s="57"/>
      <c r="G201" s="57"/>
      <c r="H201" s="41"/>
      <c r="I201" s="46"/>
      <c r="J201" s="46"/>
      <c r="K201" s="157"/>
    </row>
    <row r="202" spans="2:11" ht="16.5" x14ac:dyDescent="0.3">
      <c r="B202" s="187" t="s">
        <v>132</v>
      </c>
      <c r="C202" s="188">
        <f>400/5.7</f>
        <v>70.175438596491219</v>
      </c>
      <c r="D202" s="46"/>
      <c r="E202" s="41"/>
      <c r="F202" s="57"/>
      <c r="G202" s="57"/>
      <c r="H202" s="41"/>
      <c r="I202" s="46"/>
      <c r="J202" s="46"/>
      <c r="K202" s="157"/>
    </row>
    <row r="203" spans="2:11" ht="16.5" x14ac:dyDescent="0.3">
      <c r="B203" s="187" t="s">
        <v>95</v>
      </c>
      <c r="C203" s="188">
        <f>910.59/5.7</f>
        <v>159.75263157894736</v>
      </c>
      <c r="D203" s="46"/>
      <c r="E203" s="41"/>
      <c r="F203" s="57"/>
      <c r="G203" s="57"/>
      <c r="H203" s="41"/>
      <c r="I203" s="46"/>
      <c r="J203" s="46"/>
      <c r="K203" s="157"/>
    </row>
    <row r="204" spans="2:11" ht="16.5" x14ac:dyDescent="0.3">
      <c r="B204" s="187" t="s">
        <v>134</v>
      </c>
      <c r="C204" s="188">
        <f>2790/5.7</f>
        <v>489.4736842105263</v>
      </c>
      <c r="D204" s="46"/>
      <c r="E204" s="41"/>
      <c r="F204" s="57"/>
      <c r="G204" s="57"/>
      <c r="H204" s="41"/>
      <c r="I204" s="46"/>
      <c r="J204" s="46"/>
      <c r="K204" s="157"/>
    </row>
    <row r="205" spans="2:11" ht="16.5" x14ac:dyDescent="0.3">
      <c r="B205" s="187" t="s">
        <v>134</v>
      </c>
      <c r="C205" s="188">
        <f>3825/5.7</f>
        <v>671.0526315789474</v>
      </c>
      <c r="D205" s="46"/>
      <c r="E205" s="41"/>
      <c r="F205" s="57"/>
      <c r="G205" s="57"/>
      <c r="H205" s="41"/>
      <c r="I205" s="46"/>
      <c r="J205" s="46"/>
      <c r="K205" s="157"/>
    </row>
    <row r="206" spans="2:11" ht="16.5" x14ac:dyDescent="0.3">
      <c r="B206" s="187" t="s">
        <v>134</v>
      </c>
      <c r="C206" s="188">
        <f>2100/5.7</f>
        <v>368.42105263157896</v>
      </c>
      <c r="D206" s="46"/>
      <c r="E206" s="41"/>
      <c r="F206" s="57"/>
      <c r="G206" s="57"/>
      <c r="H206" s="41"/>
      <c r="I206" s="46"/>
      <c r="J206" s="46"/>
      <c r="K206" s="157"/>
    </row>
    <row r="207" spans="2:11" ht="16.5" x14ac:dyDescent="0.3">
      <c r="B207" s="187" t="s">
        <v>134</v>
      </c>
      <c r="C207" s="188">
        <f>2100/5.7</f>
        <v>368.42105263157896</v>
      </c>
      <c r="D207" s="46"/>
      <c r="E207" s="41"/>
      <c r="F207" s="57"/>
      <c r="G207" s="57"/>
      <c r="H207" s="41"/>
      <c r="I207" s="46"/>
      <c r="J207" s="46"/>
      <c r="K207" s="157"/>
    </row>
    <row r="208" spans="2:11" ht="16.5" x14ac:dyDescent="0.3">
      <c r="B208" s="187" t="s">
        <v>134</v>
      </c>
      <c r="C208" s="188">
        <f>2940/5.7</f>
        <v>515.78947368421052</v>
      </c>
      <c r="D208" s="46"/>
      <c r="E208" s="41"/>
      <c r="F208" s="57"/>
      <c r="G208" s="57"/>
      <c r="H208" s="41"/>
      <c r="I208" s="46"/>
      <c r="J208" s="46"/>
      <c r="K208" s="157"/>
    </row>
    <row r="209" spans="2:11" ht="16.5" x14ac:dyDescent="0.3">
      <c r="B209" s="187" t="s">
        <v>134</v>
      </c>
      <c r="C209" s="188">
        <f>2550/5.7</f>
        <v>447.36842105263156</v>
      </c>
      <c r="D209" s="46"/>
      <c r="E209" s="41"/>
      <c r="F209" s="57"/>
      <c r="G209" s="57"/>
      <c r="H209" s="41"/>
      <c r="I209" s="46"/>
      <c r="J209" s="46"/>
      <c r="K209" s="46"/>
    </row>
    <row r="210" spans="2:11" ht="16.5" x14ac:dyDescent="0.3">
      <c r="B210" s="187" t="s">
        <v>134</v>
      </c>
      <c r="C210" s="188">
        <f>2550/5.7</f>
        <v>447.36842105263156</v>
      </c>
      <c r="D210" s="46"/>
      <c r="E210" s="41"/>
      <c r="F210" s="57"/>
      <c r="G210" s="57"/>
      <c r="H210" s="41"/>
      <c r="I210" s="46"/>
      <c r="J210" s="46"/>
      <c r="K210" s="46"/>
    </row>
    <row r="211" spans="2:11" s="184" customFormat="1" ht="16.5" x14ac:dyDescent="0.3">
      <c r="B211" s="187" t="s">
        <v>134</v>
      </c>
      <c r="C211" s="188">
        <f>1860/5.7</f>
        <v>326.31578947368422</v>
      </c>
      <c r="D211" s="172"/>
      <c r="E211" s="183"/>
      <c r="F211" s="173"/>
      <c r="G211" s="173"/>
      <c r="H211" s="183"/>
      <c r="I211" s="172"/>
      <c r="J211" s="172"/>
      <c r="K211" s="172"/>
    </row>
    <row r="212" spans="2:11" ht="16.5" x14ac:dyDescent="0.3">
      <c r="B212" s="187" t="s">
        <v>134</v>
      </c>
      <c r="C212" s="188">
        <f>2550/5.7</f>
        <v>447.36842105263156</v>
      </c>
      <c r="D212" s="46"/>
      <c r="E212" s="41"/>
      <c r="F212" s="57"/>
      <c r="G212" s="57"/>
      <c r="H212" s="41"/>
      <c r="I212" s="46"/>
      <c r="J212" s="46"/>
      <c r="K212" s="46"/>
    </row>
    <row r="213" spans="2:11" ht="16.5" x14ac:dyDescent="0.3">
      <c r="B213" s="187" t="s">
        <v>135</v>
      </c>
      <c r="C213" s="188">
        <f>2000/5.7</f>
        <v>350.87719298245611</v>
      </c>
      <c r="D213" s="46"/>
      <c r="E213" s="41"/>
      <c r="F213" s="57"/>
      <c r="G213" s="57"/>
      <c r="H213" s="41"/>
      <c r="I213" s="46"/>
      <c r="J213" s="46"/>
      <c r="K213" s="46"/>
    </row>
    <row r="214" spans="2:11" ht="16.5" x14ac:dyDescent="0.3">
      <c r="B214" s="187" t="s">
        <v>134</v>
      </c>
      <c r="C214" s="188">
        <f>1860/5.7</f>
        <v>326.31578947368422</v>
      </c>
      <c r="D214" s="46"/>
      <c r="E214" s="41"/>
      <c r="F214" s="57"/>
      <c r="G214" s="57"/>
      <c r="H214" s="41"/>
      <c r="I214" s="46"/>
      <c r="J214" s="46"/>
      <c r="K214" s="46"/>
    </row>
    <row r="215" spans="2:11" ht="16.5" x14ac:dyDescent="0.3">
      <c r="B215" s="187" t="s">
        <v>136</v>
      </c>
      <c r="C215" s="188">
        <f>630/5.7</f>
        <v>110.52631578947368</v>
      </c>
      <c r="D215" s="46"/>
      <c r="E215" s="41"/>
      <c r="F215" s="57"/>
      <c r="G215" s="57"/>
      <c r="H215" s="41"/>
      <c r="I215" s="46"/>
      <c r="J215" s="46"/>
      <c r="K215" s="46"/>
    </row>
    <row r="216" spans="2:11" ht="16.5" x14ac:dyDescent="0.3">
      <c r="B216" s="187" t="s">
        <v>137</v>
      </c>
      <c r="C216" s="188">
        <f>1275/5.7</f>
        <v>223.68421052631578</v>
      </c>
      <c r="D216" s="46"/>
      <c r="E216" s="41"/>
      <c r="F216" s="57"/>
      <c r="G216" s="57"/>
      <c r="H216" s="41"/>
      <c r="I216" s="46"/>
      <c r="J216" s="46"/>
      <c r="K216" s="46"/>
    </row>
    <row r="217" spans="2:11" ht="16.5" x14ac:dyDescent="0.3">
      <c r="B217" s="187" t="s">
        <v>134</v>
      </c>
      <c r="C217" s="188">
        <f>1100/5.7</f>
        <v>192.98245614035088</v>
      </c>
      <c r="D217" s="46"/>
      <c r="E217" s="41"/>
      <c r="F217" s="57"/>
      <c r="G217" s="57"/>
      <c r="H217" s="41"/>
      <c r="I217" s="46"/>
      <c r="J217" s="46"/>
      <c r="K217" s="46"/>
    </row>
    <row r="218" spans="2:11" ht="16.5" x14ac:dyDescent="0.3">
      <c r="B218" s="187" t="s">
        <v>138</v>
      </c>
      <c r="C218" s="188">
        <f>500/5.7</f>
        <v>87.719298245614027</v>
      </c>
      <c r="D218" s="46"/>
      <c r="E218" s="41"/>
      <c r="F218" s="57"/>
      <c r="G218" s="57"/>
      <c r="H218" s="41"/>
      <c r="I218" s="46"/>
      <c r="J218" s="46"/>
      <c r="K218" s="46"/>
    </row>
    <row r="219" spans="2:11" ht="16.5" x14ac:dyDescent="0.3">
      <c r="B219" s="187" t="s">
        <v>139</v>
      </c>
      <c r="C219" s="188">
        <f>420/5.7</f>
        <v>73.68421052631578</v>
      </c>
      <c r="D219" s="46"/>
      <c r="E219" s="41"/>
      <c r="F219" s="57"/>
      <c r="G219" s="57"/>
      <c r="H219" s="41"/>
      <c r="I219" s="46"/>
      <c r="J219" s="46"/>
      <c r="K219" s="46"/>
    </row>
    <row r="220" spans="2:11" ht="16.5" x14ac:dyDescent="0.3">
      <c r="B220" s="187" t="s">
        <v>140</v>
      </c>
      <c r="C220" s="188">
        <f>420/5.7</f>
        <v>73.68421052631578</v>
      </c>
      <c r="D220" s="46"/>
      <c r="E220" s="41"/>
      <c r="F220" s="57"/>
      <c r="G220" s="57"/>
      <c r="H220" s="41"/>
      <c r="I220" s="46"/>
      <c r="J220" s="46"/>
      <c r="K220" s="46"/>
    </row>
    <row r="221" spans="2:11" ht="16.5" x14ac:dyDescent="0.3">
      <c r="B221" s="187" t="s">
        <v>142</v>
      </c>
      <c r="C221" s="188">
        <f>912.49/5.7</f>
        <v>160.0859649122807</v>
      </c>
      <c r="D221" s="46"/>
      <c r="E221" s="41"/>
      <c r="F221" s="57"/>
      <c r="G221" s="57"/>
      <c r="H221" s="41"/>
      <c r="I221" s="46"/>
      <c r="J221" s="46"/>
      <c r="K221" s="46"/>
    </row>
    <row r="222" spans="2:11" ht="16.5" x14ac:dyDescent="0.3">
      <c r="B222" s="187" t="s">
        <v>142</v>
      </c>
      <c r="C222" s="188">
        <f>9587.57/5.7</f>
        <v>1682.0298245614033</v>
      </c>
      <c r="D222" s="46"/>
      <c r="E222" s="41"/>
      <c r="F222" s="57"/>
      <c r="G222" s="57"/>
      <c r="H222" s="41"/>
      <c r="I222" s="46"/>
      <c r="J222" s="46"/>
      <c r="K222" s="46"/>
    </row>
    <row r="223" spans="2:11" ht="16.5" x14ac:dyDescent="0.3">
      <c r="B223" s="187" t="s">
        <v>142</v>
      </c>
      <c r="C223" s="188">
        <f>1601.43/5.7</f>
        <v>280.95263157894738</v>
      </c>
      <c r="D223" s="46"/>
      <c r="E223" s="41"/>
      <c r="F223" s="57"/>
      <c r="G223" s="57"/>
      <c r="H223" s="41"/>
      <c r="I223" s="46"/>
      <c r="J223" s="46"/>
      <c r="K223" s="46"/>
    </row>
    <row r="224" spans="2:11" ht="16.5" x14ac:dyDescent="0.3">
      <c r="B224" s="187" t="s">
        <v>170</v>
      </c>
      <c r="C224" s="188">
        <f>2749.09/5.7</f>
        <v>482.29649122807018</v>
      </c>
      <c r="D224" s="46"/>
      <c r="E224" s="41"/>
      <c r="F224" s="57"/>
      <c r="G224" s="57"/>
      <c r="H224" s="41"/>
      <c r="I224" s="46"/>
      <c r="J224" s="46"/>
      <c r="K224" s="46"/>
    </row>
    <row r="225" spans="2:11" ht="16.5" x14ac:dyDescent="0.3">
      <c r="B225" s="187" t="s">
        <v>142</v>
      </c>
      <c r="C225" s="188">
        <f>1608.94/5.7</f>
        <v>282.27017543859648</v>
      </c>
      <c r="D225" s="46"/>
      <c r="E225" s="41"/>
      <c r="F225" s="57"/>
      <c r="G225" s="57"/>
      <c r="H225" s="41"/>
      <c r="I225" s="46"/>
      <c r="J225" s="46"/>
      <c r="K225" s="46"/>
    </row>
    <row r="226" spans="2:11" ht="16.5" x14ac:dyDescent="0.3">
      <c r="B226" s="187" t="s">
        <v>169</v>
      </c>
      <c r="C226" s="188">
        <f>33198.4/5.7</f>
        <v>5824.2807017543864</v>
      </c>
      <c r="D226" s="46"/>
      <c r="E226" s="41"/>
      <c r="F226" s="57"/>
      <c r="G226" s="57"/>
      <c r="H226" s="41"/>
      <c r="I226" s="46"/>
      <c r="J226" s="46"/>
      <c r="K226" s="46"/>
    </row>
    <row r="227" spans="2:11" ht="16.5" x14ac:dyDescent="0.3">
      <c r="B227" s="187" t="s">
        <v>143</v>
      </c>
      <c r="C227" s="188">
        <f>2230.585/5.7</f>
        <v>391.33070175438598</v>
      </c>
      <c r="D227" s="46"/>
      <c r="E227" s="41"/>
      <c r="F227" s="57"/>
      <c r="G227" s="57"/>
      <c r="H227" s="41"/>
      <c r="I227" s="46"/>
      <c r="J227" s="46"/>
      <c r="K227" s="46"/>
    </row>
    <row r="228" spans="2:11" ht="16.5" x14ac:dyDescent="0.3">
      <c r="B228" s="187" t="s">
        <v>144</v>
      </c>
      <c r="C228" s="188">
        <f>500/5.7</f>
        <v>87.719298245614027</v>
      </c>
      <c r="D228" s="46"/>
      <c r="E228" s="41"/>
      <c r="F228" s="57"/>
      <c r="G228" s="57"/>
      <c r="H228" s="41"/>
      <c r="I228" s="46"/>
      <c r="J228" s="46"/>
      <c r="K228" s="46"/>
    </row>
    <row r="229" spans="2:11" ht="16.5" x14ac:dyDescent="0.3">
      <c r="B229" s="187" t="s">
        <v>145</v>
      </c>
      <c r="C229" s="188">
        <f>3450/5.7</f>
        <v>605.26315789473688</v>
      </c>
      <c r="D229" s="46"/>
      <c r="E229" s="41"/>
      <c r="F229" s="57"/>
      <c r="G229" s="57"/>
      <c r="H229" s="41"/>
      <c r="I229" s="46"/>
      <c r="J229" s="46"/>
      <c r="K229" s="46"/>
    </row>
    <row r="230" spans="2:11" ht="16.5" x14ac:dyDescent="0.3">
      <c r="B230" s="187" t="s">
        <v>130</v>
      </c>
      <c r="C230" s="188">
        <f>947.14/5.7</f>
        <v>166.16491228070174</v>
      </c>
      <c r="D230" s="46"/>
      <c r="E230" s="41"/>
      <c r="F230" s="57"/>
      <c r="G230" s="57"/>
      <c r="H230" s="41"/>
      <c r="I230" s="46"/>
      <c r="J230" s="46"/>
      <c r="K230" s="46"/>
    </row>
    <row r="231" spans="2:11" ht="16.5" x14ac:dyDescent="0.3">
      <c r="B231" s="187" t="s">
        <v>151</v>
      </c>
      <c r="C231" s="188">
        <f>9332/5.7</f>
        <v>1637.1929824561403</v>
      </c>
      <c r="D231" s="46"/>
      <c r="E231" s="41"/>
      <c r="F231" s="57"/>
      <c r="G231" s="57"/>
      <c r="H231" s="41"/>
      <c r="I231" s="46"/>
      <c r="J231" s="46"/>
      <c r="K231" s="46"/>
    </row>
    <row r="232" spans="2:11" ht="16.5" x14ac:dyDescent="0.3">
      <c r="B232" s="187" t="s">
        <v>152</v>
      </c>
      <c r="C232" s="188">
        <f>1500/5.7</f>
        <v>263.15789473684208</v>
      </c>
      <c r="D232" s="46"/>
      <c r="E232" s="41"/>
      <c r="F232" s="57"/>
      <c r="G232" s="57"/>
      <c r="H232" s="41"/>
      <c r="I232" s="46"/>
      <c r="J232" s="46"/>
      <c r="K232" s="46"/>
    </row>
    <row r="233" spans="2:11" ht="16.5" x14ac:dyDescent="0.3">
      <c r="B233" s="187" t="s">
        <v>154</v>
      </c>
      <c r="C233" s="188">
        <f>912.49/5.7</f>
        <v>160.0859649122807</v>
      </c>
      <c r="D233" s="46"/>
      <c r="E233" s="41"/>
      <c r="F233" s="57"/>
      <c r="G233" s="57"/>
      <c r="H233" s="41"/>
      <c r="I233" s="46"/>
      <c r="J233" s="46"/>
      <c r="K233" s="46"/>
    </row>
    <row r="234" spans="2:11" ht="16.5" x14ac:dyDescent="0.3">
      <c r="B234" s="187" t="s">
        <v>154</v>
      </c>
      <c r="C234" s="188">
        <f>9844.23/5.7</f>
        <v>1727.0578947368419</v>
      </c>
      <c r="D234" s="46"/>
      <c r="E234" s="41"/>
      <c r="F234" s="57"/>
      <c r="G234" s="57"/>
      <c r="H234" s="41"/>
      <c r="I234" s="46"/>
      <c r="J234" s="46"/>
      <c r="K234" s="46"/>
    </row>
    <row r="235" spans="2:11" ht="16.5" x14ac:dyDescent="0.3">
      <c r="B235" s="187" t="s">
        <v>154</v>
      </c>
      <c r="C235" s="188">
        <f>1601.43/5.7</f>
        <v>280.95263157894738</v>
      </c>
      <c r="D235" s="46"/>
      <c r="E235" s="41"/>
      <c r="F235" s="57"/>
      <c r="G235" s="57"/>
      <c r="H235" s="41"/>
      <c r="I235" s="46"/>
      <c r="J235" s="46"/>
      <c r="K235" s="46"/>
    </row>
    <row r="236" spans="2:11" ht="16.5" x14ac:dyDescent="0.3">
      <c r="B236" s="187" t="s">
        <v>155</v>
      </c>
      <c r="C236" s="188">
        <f>2834.64/5.7</f>
        <v>497.30526315789467</v>
      </c>
      <c r="D236" s="46"/>
      <c r="E236" s="41"/>
      <c r="F236" s="57"/>
      <c r="G236" s="57"/>
      <c r="H236" s="41"/>
      <c r="I236" s="46"/>
      <c r="J236" s="46"/>
      <c r="K236" s="46"/>
    </row>
    <row r="237" spans="2:11" ht="16.5" x14ac:dyDescent="0.3">
      <c r="B237" s="187" t="s">
        <v>156</v>
      </c>
      <c r="C237" s="188">
        <f>1608.94/5.7</f>
        <v>282.27017543859648</v>
      </c>
      <c r="D237" s="46"/>
      <c r="E237" s="41"/>
      <c r="F237" s="57"/>
      <c r="G237" s="57"/>
      <c r="H237" s="41"/>
      <c r="I237" s="46"/>
      <c r="J237" s="46"/>
      <c r="K237" s="46"/>
    </row>
    <row r="238" spans="2:11" ht="16.5" x14ac:dyDescent="0.3">
      <c r="B238" s="187" t="s">
        <v>157</v>
      </c>
      <c r="C238" s="188">
        <f>630/5.7</f>
        <v>110.52631578947368</v>
      </c>
      <c r="D238" s="46"/>
      <c r="E238" s="41"/>
      <c r="F238" s="57"/>
      <c r="G238" s="57"/>
      <c r="H238" s="41"/>
      <c r="I238" s="46"/>
      <c r="J238" s="46"/>
      <c r="K238" s="46"/>
    </row>
    <row r="239" spans="2:11" ht="16.5" x14ac:dyDescent="0.3">
      <c r="B239" s="187" t="s">
        <v>95</v>
      </c>
      <c r="C239" s="188">
        <f>977.42/5.7</f>
        <v>171.47719298245613</v>
      </c>
      <c r="D239" s="46"/>
      <c r="E239" s="41"/>
      <c r="F239" s="57"/>
      <c r="G239" s="57"/>
      <c r="H239" s="41"/>
      <c r="I239" s="46"/>
      <c r="J239" s="46"/>
      <c r="K239" s="46"/>
    </row>
    <row r="240" spans="2:11" ht="16.5" x14ac:dyDescent="0.3">
      <c r="B240" s="187" t="s">
        <v>163</v>
      </c>
      <c r="C240" s="188">
        <f>912.49/5.7</f>
        <v>160.0859649122807</v>
      </c>
      <c r="D240" s="46"/>
      <c r="E240" s="41"/>
      <c r="F240" s="57"/>
      <c r="G240" s="57"/>
      <c r="H240" s="41"/>
      <c r="I240" s="46"/>
      <c r="J240" s="46"/>
      <c r="K240" s="46"/>
    </row>
    <row r="241" spans="2:11" ht="16.5" x14ac:dyDescent="0.3">
      <c r="B241" s="187" t="s">
        <v>163</v>
      </c>
      <c r="C241" s="188">
        <f>9844.23/5.7</f>
        <v>1727.0578947368419</v>
      </c>
      <c r="D241" s="46"/>
      <c r="E241" s="41"/>
      <c r="F241" s="57"/>
      <c r="G241" s="57"/>
      <c r="H241" s="41"/>
      <c r="I241" s="46"/>
      <c r="J241" s="46"/>
      <c r="K241" s="46"/>
    </row>
    <row r="242" spans="2:11" ht="16.5" x14ac:dyDescent="0.3">
      <c r="B242" s="187" t="s">
        <v>163</v>
      </c>
      <c r="C242" s="188">
        <f>1601.43/5.7</f>
        <v>280.95263157894738</v>
      </c>
      <c r="D242" s="46"/>
      <c r="E242" s="41"/>
      <c r="F242" s="57"/>
      <c r="G242" s="57"/>
      <c r="H242" s="41"/>
      <c r="I242" s="46"/>
      <c r="J242" s="46"/>
      <c r="K242" s="46"/>
    </row>
    <row r="243" spans="2:11" ht="16.5" x14ac:dyDescent="0.3">
      <c r="B243" s="187" t="s">
        <v>164</v>
      </c>
      <c r="C243" s="188">
        <f>2834.64/5.7</f>
        <v>497.30526315789467</v>
      </c>
      <c r="D243" s="46"/>
      <c r="E243" s="41"/>
      <c r="F243" s="57"/>
      <c r="G243" s="57"/>
      <c r="H243" s="41"/>
      <c r="I243" s="46"/>
      <c r="J243" s="46"/>
      <c r="K243" s="46"/>
    </row>
    <row r="244" spans="2:11" ht="16.5" x14ac:dyDescent="0.3">
      <c r="B244" s="187" t="s">
        <v>163</v>
      </c>
      <c r="C244" s="188">
        <f>1608.94/5.7</f>
        <v>282.27017543859648</v>
      </c>
      <c r="D244" s="46"/>
      <c r="E244" s="41"/>
      <c r="F244" s="57"/>
      <c r="G244" s="57"/>
      <c r="H244" s="41"/>
      <c r="I244" s="46"/>
      <c r="J244" s="46"/>
      <c r="K244" s="46"/>
    </row>
    <row r="245" spans="2:11" ht="14.25" customHeight="1" x14ac:dyDescent="0.2">
      <c r="B245" s="46" t="s">
        <v>171</v>
      </c>
      <c r="C245" s="179">
        <f>2.08+2.08+15+115.5+45+91.05</f>
        <v>270.70999999999998</v>
      </c>
      <c r="D245" s="57"/>
      <c r="E245" s="41"/>
      <c r="F245" s="57"/>
      <c r="G245" s="57"/>
      <c r="H245" s="41"/>
      <c r="I245" s="46"/>
      <c r="J245" s="46"/>
      <c r="K245" s="46"/>
    </row>
    <row r="246" spans="2:11" ht="14.25" customHeight="1" x14ac:dyDescent="0.2">
      <c r="B246" s="46"/>
      <c r="C246" s="179"/>
      <c r="D246" s="57"/>
      <c r="E246" s="41"/>
      <c r="F246" s="57"/>
      <c r="G246" s="57"/>
      <c r="H246" s="41"/>
      <c r="I246" s="46"/>
      <c r="J246" s="46"/>
      <c r="K246" s="46"/>
    </row>
    <row r="247" spans="2:11" ht="14.25" customHeight="1" x14ac:dyDescent="0.2">
      <c r="B247" s="46"/>
      <c r="C247" s="178"/>
      <c r="D247" s="57"/>
      <c r="E247" s="41"/>
      <c r="F247" s="57"/>
      <c r="G247" s="57"/>
      <c r="H247" s="41"/>
      <c r="I247" s="46"/>
      <c r="J247" s="46"/>
      <c r="K247" s="46"/>
    </row>
    <row r="248" spans="2:11" ht="14.25" customHeight="1" x14ac:dyDescent="0.3">
      <c r="B248" s="46"/>
      <c r="C248" s="149"/>
      <c r="D248" s="57"/>
      <c r="E248" s="41"/>
      <c r="F248" s="57"/>
      <c r="G248" s="57"/>
      <c r="H248" s="41"/>
      <c r="I248" s="46"/>
      <c r="J248" s="46"/>
      <c r="K248" s="46"/>
    </row>
    <row r="249" spans="2:11" ht="14.25" customHeight="1" x14ac:dyDescent="0.2">
      <c r="B249" s="46"/>
      <c r="C249" s="57"/>
      <c r="D249" s="57"/>
      <c r="E249" s="41"/>
      <c r="F249" s="57"/>
      <c r="G249" s="57"/>
      <c r="H249" s="41"/>
      <c r="I249" s="46"/>
      <c r="J249" s="46"/>
      <c r="K249" s="46"/>
    </row>
    <row r="250" spans="2:11" ht="13.5" thickBot="1" x14ac:dyDescent="0.25">
      <c r="B250" s="46"/>
      <c r="C250" s="41"/>
      <c r="D250" s="57"/>
      <c r="E250" s="41"/>
      <c r="F250" s="41"/>
      <c r="G250" s="57"/>
      <c r="H250" s="41"/>
      <c r="I250" s="46"/>
      <c r="J250" s="46"/>
      <c r="K250" s="46"/>
    </row>
    <row r="251" spans="2:11" ht="13.5" thickBot="1" x14ac:dyDescent="0.25">
      <c r="B251" s="58" t="s">
        <v>16</v>
      </c>
      <c r="C251" s="39">
        <f t="shared" ref="C251:H251" si="1">SUM(C162:C250)</f>
        <v>53013.591578947366</v>
      </c>
      <c r="D251" s="39">
        <f t="shared" si="1"/>
        <v>0</v>
      </c>
      <c r="E251" s="39">
        <f t="shared" si="1"/>
        <v>0</v>
      </c>
      <c r="F251" s="39">
        <f t="shared" si="1"/>
        <v>0</v>
      </c>
      <c r="G251" s="39">
        <f t="shared" si="1"/>
        <v>0</v>
      </c>
      <c r="H251" s="39">
        <f t="shared" si="1"/>
        <v>0</v>
      </c>
      <c r="I251" s="175"/>
      <c r="J251" s="176"/>
      <c r="K251" s="176"/>
    </row>
    <row r="252" spans="2:11" x14ac:dyDescent="0.2">
      <c r="B252" s="18"/>
      <c r="C252" s="40"/>
      <c r="D252" s="40"/>
      <c r="E252" s="40"/>
      <c r="F252" s="40"/>
      <c r="G252" s="40"/>
      <c r="H252" s="40"/>
      <c r="I252" s="18"/>
      <c r="J252" s="18"/>
      <c r="K252" s="18"/>
    </row>
    <row r="253" spans="2:11" x14ac:dyDescent="0.2">
      <c r="B253" s="15" t="s">
        <v>34</v>
      </c>
      <c r="C253" s="41"/>
      <c r="D253" s="57"/>
      <c r="E253" s="41"/>
      <c r="F253" s="60"/>
      <c r="G253" s="60"/>
      <c r="H253" s="60"/>
      <c r="I253" s="46"/>
      <c r="J253" s="46"/>
      <c r="K253" s="46"/>
    </row>
    <row r="254" spans="2:11" x14ac:dyDescent="0.2">
      <c r="B254" s="46"/>
      <c r="C254" s="57"/>
      <c r="D254" s="57"/>
      <c r="E254" s="57"/>
      <c r="F254" s="57"/>
      <c r="G254" s="57"/>
      <c r="H254" s="41"/>
      <c r="I254" s="46"/>
      <c r="J254" s="46"/>
      <c r="K254" s="157"/>
    </row>
    <row r="255" spans="2:11" x14ac:dyDescent="0.2">
      <c r="B255" s="46"/>
      <c r="C255" s="57"/>
      <c r="D255" s="60"/>
      <c r="E255" s="57"/>
      <c r="F255" s="60"/>
      <c r="G255" s="60"/>
      <c r="H255" s="60"/>
      <c r="I255" s="46"/>
      <c r="J255" s="46"/>
      <c r="K255" s="46"/>
    </row>
    <row r="256" spans="2:11" x14ac:dyDescent="0.2">
      <c r="B256" s="46"/>
      <c r="C256" s="57"/>
      <c r="D256" s="60"/>
      <c r="E256" s="57"/>
      <c r="F256" s="60"/>
      <c r="G256" s="60"/>
      <c r="H256" s="60"/>
      <c r="I256" s="46"/>
      <c r="J256" s="46"/>
      <c r="K256" s="46"/>
    </row>
    <row r="257" spans="2:11" x14ac:dyDescent="0.2">
      <c r="B257" s="46"/>
      <c r="C257" s="57"/>
      <c r="D257" s="60"/>
      <c r="E257" s="57"/>
      <c r="F257" s="60"/>
      <c r="G257" s="60"/>
      <c r="H257" s="60"/>
      <c r="I257" s="46"/>
      <c r="J257" s="46"/>
      <c r="K257" s="46"/>
    </row>
    <row r="258" spans="2:11" x14ac:dyDescent="0.2">
      <c r="B258" s="46"/>
      <c r="C258" s="57"/>
      <c r="D258" s="60"/>
      <c r="E258" s="57"/>
      <c r="F258" s="60"/>
      <c r="G258" s="60"/>
      <c r="H258" s="60"/>
      <c r="I258" s="46"/>
      <c r="J258" s="46"/>
      <c r="K258" s="46"/>
    </row>
    <row r="259" spans="2:11" x14ac:dyDescent="0.2">
      <c r="B259" s="46"/>
      <c r="C259" s="57"/>
      <c r="D259" s="60"/>
      <c r="E259" s="57"/>
      <c r="F259" s="60"/>
      <c r="G259" s="60"/>
      <c r="H259" s="60"/>
      <c r="I259" s="46"/>
      <c r="J259" s="46"/>
      <c r="K259" s="46"/>
    </row>
    <row r="260" spans="2:11" x14ac:dyDescent="0.2">
      <c r="B260" s="46"/>
      <c r="C260" s="57"/>
      <c r="D260" s="60"/>
      <c r="E260" s="57"/>
      <c r="F260" s="60"/>
      <c r="G260" s="60"/>
      <c r="H260" s="60"/>
      <c r="I260" s="46"/>
      <c r="J260" s="46"/>
      <c r="K260" s="46"/>
    </row>
    <row r="261" spans="2:11" x14ac:dyDescent="0.2">
      <c r="B261" s="46"/>
      <c r="C261" s="57"/>
      <c r="D261" s="60"/>
      <c r="E261" s="57"/>
      <c r="F261" s="60"/>
      <c r="G261" s="60"/>
      <c r="H261" s="60"/>
      <c r="I261" s="46"/>
      <c r="J261" s="46"/>
      <c r="K261" s="46"/>
    </row>
    <row r="262" spans="2:11" x14ac:dyDescent="0.2">
      <c r="B262" s="46"/>
      <c r="C262" s="57"/>
      <c r="D262" s="60"/>
      <c r="E262" s="57"/>
      <c r="F262" s="60"/>
      <c r="G262" s="60"/>
      <c r="H262" s="60"/>
      <c r="I262" s="46"/>
      <c r="J262" s="46"/>
      <c r="K262" s="46"/>
    </row>
    <row r="263" spans="2:11" x14ac:dyDescent="0.2">
      <c r="B263" s="46"/>
      <c r="C263" s="57"/>
      <c r="D263" s="60"/>
      <c r="E263" s="57"/>
      <c r="F263" s="60"/>
      <c r="G263" s="60"/>
      <c r="H263" s="60"/>
      <c r="I263" s="46"/>
      <c r="J263" s="46"/>
      <c r="K263" s="46"/>
    </row>
    <row r="264" spans="2:11" ht="14.25" x14ac:dyDescent="0.2">
      <c r="B264" s="177"/>
      <c r="C264" s="178"/>
      <c r="D264" s="60"/>
      <c r="E264" s="57"/>
      <c r="F264" s="60"/>
      <c r="G264" s="60"/>
      <c r="H264" s="60"/>
      <c r="I264" s="46"/>
      <c r="J264" s="46"/>
      <c r="K264" s="46"/>
    </row>
    <row r="265" spans="2:11" ht="14.25" x14ac:dyDescent="0.2">
      <c r="B265" s="177"/>
      <c r="C265" s="179"/>
      <c r="D265" s="60"/>
      <c r="E265" s="57"/>
      <c r="F265" s="60"/>
      <c r="G265" s="60"/>
      <c r="H265" s="60"/>
      <c r="I265" s="46"/>
      <c r="J265" s="46"/>
      <c r="K265" s="46"/>
    </row>
    <row r="266" spans="2:11" ht="16.5" x14ac:dyDescent="0.3">
      <c r="B266" s="177"/>
      <c r="C266" s="149"/>
      <c r="D266" s="60"/>
      <c r="E266" s="57"/>
      <c r="F266" s="60"/>
      <c r="G266" s="60"/>
      <c r="H266" s="60"/>
      <c r="I266" s="46"/>
      <c r="J266" s="46"/>
      <c r="K266" s="46"/>
    </row>
    <row r="267" spans="2:11" ht="16.5" x14ac:dyDescent="0.3">
      <c r="B267" s="177"/>
      <c r="C267" s="149"/>
      <c r="D267" s="57"/>
      <c r="E267" s="57"/>
      <c r="F267" s="60"/>
      <c r="G267" s="60"/>
      <c r="H267" s="60"/>
      <c r="I267" s="46"/>
      <c r="J267" s="46"/>
      <c r="K267" s="46"/>
    </row>
    <row r="268" spans="2:11" ht="13.5" thickBot="1" x14ac:dyDescent="0.25">
      <c r="B268" s="58" t="s">
        <v>16</v>
      </c>
      <c r="C268" s="59">
        <f>SUM(C254:C267)</f>
        <v>0</v>
      </c>
      <c r="D268" s="59">
        <f>SUM(D254:D266)</f>
        <v>0</v>
      </c>
      <c r="E268" s="59">
        <f>SUM(E255:E266)</f>
        <v>0</v>
      </c>
      <c r="F268" s="59">
        <f>SUM(F254:F266)</f>
        <v>0</v>
      </c>
      <c r="G268" s="59">
        <f>SUM(G254:G266)</f>
        <v>0</v>
      </c>
      <c r="H268" s="180"/>
      <c r="I268" s="162"/>
      <c r="J268" s="162"/>
      <c r="K268" s="181"/>
    </row>
    <row r="269" spans="2:11" x14ac:dyDescent="0.2">
      <c r="B269" s="18"/>
      <c r="C269" s="40"/>
      <c r="D269" s="40"/>
      <c r="E269" s="40"/>
      <c r="F269" s="40"/>
      <c r="G269" s="40"/>
      <c r="H269" s="40"/>
      <c r="I269" s="18"/>
      <c r="J269" s="18"/>
      <c r="K269" s="18"/>
    </row>
    <row r="270" spans="2:11" x14ac:dyDescent="0.2">
      <c r="B270" s="15"/>
      <c r="C270" s="41"/>
      <c r="D270" s="57"/>
      <c r="E270" s="41"/>
      <c r="F270" s="60"/>
      <c r="G270" s="60"/>
      <c r="H270" s="60"/>
      <c r="I270" s="46"/>
      <c r="J270" s="46"/>
      <c r="K270" s="46"/>
    </row>
    <row r="271" spans="2:11" x14ac:dyDescent="0.2">
      <c r="B271" s="42"/>
      <c r="C271" s="41"/>
      <c r="D271" s="57">
        <v>0</v>
      </c>
      <c r="E271" s="41">
        <f>D271-C271</f>
        <v>0</v>
      </c>
      <c r="F271" s="60"/>
      <c r="G271" s="60"/>
      <c r="H271" s="60"/>
      <c r="I271" s="46"/>
      <c r="J271" s="46"/>
      <c r="K271" s="46"/>
    </row>
    <row r="272" spans="2:11" x14ac:dyDescent="0.2">
      <c r="B272" s="42"/>
      <c r="C272" s="41"/>
      <c r="D272" s="57">
        <v>0</v>
      </c>
      <c r="E272" s="41">
        <f>D272-C272</f>
        <v>0</v>
      </c>
      <c r="F272" s="60"/>
      <c r="G272" s="60"/>
      <c r="H272" s="60"/>
      <c r="I272" s="46"/>
      <c r="J272" s="46"/>
      <c r="K272" s="46"/>
    </row>
    <row r="273" spans="2:11" ht="13.5" thickBot="1" x14ac:dyDescent="0.25">
      <c r="B273" s="42"/>
      <c r="C273" s="41"/>
      <c r="D273" s="57"/>
      <c r="E273" s="41"/>
      <c r="F273" s="60"/>
      <c r="G273" s="60"/>
      <c r="H273" s="60"/>
      <c r="I273" s="46"/>
      <c r="J273" s="46"/>
      <c r="K273" s="46"/>
    </row>
    <row r="274" spans="2:11" ht="13.5" thickBot="1" x14ac:dyDescent="0.25">
      <c r="B274" s="17" t="s">
        <v>16</v>
      </c>
      <c r="C274" s="38">
        <f>SUM(C271:C272)</f>
        <v>0</v>
      </c>
      <c r="D274" s="38">
        <f t="shared" ref="D274:E274" si="2">SUM(D271:D272)</f>
        <v>0</v>
      </c>
      <c r="E274" s="38">
        <f t="shared" si="2"/>
        <v>0</v>
      </c>
      <c r="F274" s="174"/>
      <c r="G274" s="174"/>
      <c r="H274" s="174"/>
      <c r="I274" s="182"/>
      <c r="J274" s="182"/>
      <c r="K274" s="176"/>
    </row>
    <row r="275" spans="2:11" x14ac:dyDescent="0.2">
      <c r="B275" s="18"/>
      <c r="C275" s="40"/>
      <c r="D275" s="40"/>
      <c r="E275" s="40"/>
      <c r="F275" s="40"/>
      <c r="G275" s="40"/>
      <c r="H275" s="40"/>
      <c r="I275" s="18"/>
      <c r="J275" s="18"/>
      <c r="K275" s="18"/>
    </row>
    <row r="276" spans="2:11" x14ac:dyDescent="0.2">
      <c r="B276" s="29"/>
      <c r="C276" s="41"/>
      <c r="D276" s="41"/>
      <c r="E276" s="41"/>
      <c r="F276" s="60"/>
      <c r="G276" s="60"/>
      <c r="H276" s="60"/>
      <c r="I276" s="46"/>
      <c r="J276" s="46"/>
      <c r="K276" s="46"/>
    </row>
    <row r="277" spans="2:11" x14ac:dyDescent="0.2">
      <c r="B277" s="29" t="s">
        <v>29</v>
      </c>
      <c r="C277" s="41"/>
      <c r="D277" s="41"/>
      <c r="E277" s="41"/>
      <c r="F277" s="60"/>
      <c r="G277" s="60"/>
      <c r="H277" s="60"/>
      <c r="I277" s="46"/>
      <c r="J277" s="46"/>
      <c r="K277" s="46"/>
    </row>
    <row r="278" spans="2:11" ht="13.5" thickBot="1" x14ac:dyDescent="0.25">
      <c r="B278" s="29"/>
      <c r="C278" s="41"/>
      <c r="D278" s="41"/>
      <c r="E278" s="41"/>
      <c r="F278" s="60"/>
      <c r="G278" s="60"/>
      <c r="H278" s="60"/>
      <c r="I278" s="46"/>
      <c r="J278" s="46"/>
      <c r="K278" s="46"/>
    </row>
    <row r="279" spans="2:11" s="12" customFormat="1" ht="13.5" thickBot="1" x14ac:dyDescent="0.25">
      <c r="B279" s="30" t="s">
        <v>25</v>
      </c>
      <c r="C279" s="47">
        <f>C66+C75+C113+C129+C159+C251+C268</f>
        <v>565029.2091228069</v>
      </c>
      <c r="D279" s="31">
        <f>D66+D75+D113+D129+D159+D251+D268+D274+D277</f>
        <v>0</v>
      </c>
      <c r="E279" s="31">
        <f>D279-C279</f>
        <v>-565029.2091228069</v>
      </c>
      <c r="F279" s="31"/>
      <c r="G279" s="31"/>
      <c r="H279" s="31"/>
      <c r="I279" s="48"/>
      <c r="J279" s="49"/>
      <c r="K279" s="49"/>
    </row>
  </sheetData>
  <mergeCells count="7">
    <mergeCell ref="F9:H9"/>
    <mergeCell ref="F10:H10"/>
    <mergeCell ref="B1:J1"/>
    <mergeCell ref="B3:J3"/>
    <mergeCell ref="B4:J4"/>
    <mergeCell ref="B2:J2"/>
    <mergeCell ref="C9:E11"/>
  </mergeCells>
  <phoneticPr fontId="0" type="noConversion"/>
  <pageMargins left="0" right="0" top="0.43" bottom="0.36" header="0.21" footer="0.18"/>
  <pageSetup paperSize="9" scale="65" orientation="landscape" r:id="rId1"/>
  <headerFooter alignWithMargins="0"/>
  <ignoredErrors>
    <ignoredError sqref="C28 C49 C54 C5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workbookViewId="0">
      <selection activeCell="B18" sqref="B18"/>
    </sheetView>
  </sheetViews>
  <sheetFormatPr defaultRowHeight="12.75" x14ac:dyDescent="0.2"/>
  <cols>
    <col min="1" max="1" width="9.140625" style="70"/>
    <col min="2" max="2" width="57.5703125" style="70" customWidth="1"/>
    <col min="3" max="4" width="12.85546875" style="70" bestFit="1" customWidth="1"/>
    <col min="5" max="5" width="13.28515625" style="70" customWidth="1"/>
    <col min="6" max="6" width="10.42578125" style="70" customWidth="1"/>
    <col min="7" max="7" width="11.5703125" style="70" customWidth="1"/>
    <col min="8" max="8" width="9.140625" style="70"/>
    <col min="9" max="9" width="14.85546875" style="70" customWidth="1"/>
    <col min="10" max="10" width="10.85546875" style="70" bestFit="1" customWidth="1"/>
    <col min="11" max="16384" width="9.140625" style="70"/>
  </cols>
  <sheetData>
    <row r="3" spans="2:11" ht="15.75" x14ac:dyDescent="0.25">
      <c r="B3" s="69"/>
    </row>
    <row r="4" spans="2:11" ht="16.5" thickBot="1" x14ac:dyDescent="0.3">
      <c r="B4" s="71"/>
      <c r="C4" s="72"/>
      <c r="D4" s="72"/>
      <c r="E4" s="72"/>
      <c r="F4" s="72"/>
      <c r="G4" s="72"/>
      <c r="H4" s="72"/>
      <c r="I4" s="72"/>
      <c r="J4" s="72"/>
      <c r="K4" s="72"/>
    </row>
    <row r="5" spans="2:11" x14ac:dyDescent="0.2">
      <c r="B5" s="204" t="s">
        <v>77</v>
      </c>
      <c r="C5" s="204"/>
      <c r="D5" s="204"/>
      <c r="E5" s="204"/>
      <c r="F5" s="204"/>
      <c r="G5" s="204"/>
      <c r="H5" s="204"/>
      <c r="I5" s="204"/>
      <c r="J5" s="204"/>
    </row>
    <row r="6" spans="2:11" ht="15" x14ac:dyDescent="0.25">
      <c r="B6" s="198" t="s">
        <v>82</v>
      </c>
      <c r="C6" s="199"/>
      <c r="D6" s="199"/>
      <c r="E6" s="199"/>
      <c r="F6" s="199"/>
      <c r="G6" s="199"/>
      <c r="H6" s="199"/>
      <c r="I6" s="199"/>
      <c r="J6" s="199"/>
    </row>
    <row r="7" spans="2:11" x14ac:dyDescent="0.2">
      <c r="B7" s="212" t="s">
        <v>24</v>
      </c>
      <c r="C7" s="212"/>
      <c r="D7" s="212"/>
      <c r="E7" s="212"/>
      <c r="F7" s="212"/>
      <c r="G7" s="212"/>
      <c r="H7" s="212"/>
      <c r="I7" s="212"/>
      <c r="J7" s="212"/>
    </row>
    <row r="8" spans="2:11" x14ac:dyDescent="0.2">
      <c r="B8" s="212" t="s">
        <v>91</v>
      </c>
      <c r="C8" s="212"/>
      <c r="D8" s="212"/>
      <c r="E8" s="212"/>
      <c r="F8" s="212"/>
      <c r="G8" s="212"/>
      <c r="H8" s="212"/>
      <c r="I8" s="212"/>
      <c r="J8" s="212"/>
    </row>
    <row r="10" spans="2:11" x14ac:dyDescent="0.2">
      <c r="F10" s="73" t="s">
        <v>28</v>
      </c>
      <c r="J10" s="74"/>
    </row>
    <row r="12" spans="2:11" x14ac:dyDescent="0.2">
      <c r="B12" s="75"/>
      <c r="C12" s="75"/>
      <c r="D12" s="76"/>
      <c r="E12" s="77"/>
      <c r="F12" s="75"/>
      <c r="G12" s="76"/>
      <c r="H12" s="77"/>
      <c r="I12" s="77"/>
      <c r="J12" s="77"/>
      <c r="K12" s="77"/>
    </row>
    <row r="13" spans="2:11" x14ac:dyDescent="0.2">
      <c r="B13" s="78"/>
      <c r="C13" s="211"/>
      <c r="D13" s="209"/>
      <c r="E13" s="210"/>
      <c r="F13" s="211"/>
      <c r="G13" s="209"/>
      <c r="H13" s="210"/>
      <c r="I13" s="79"/>
      <c r="J13" s="79"/>
      <c r="K13" s="79"/>
    </row>
    <row r="14" spans="2:11" x14ac:dyDescent="0.2">
      <c r="B14" s="80" t="s">
        <v>1</v>
      </c>
      <c r="C14" s="208" t="s">
        <v>80</v>
      </c>
      <c r="D14" s="209"/>
      <c r="E14" s="210"/>
      <c r="F14" s="211" t="s">
        <v>20</v>
      </c>
      <c r="G14" s="209"/>
      <c r="H14" s="210"/>
      <c r="I14" s="79" t="s">
        <v>17</v>
      </c>
      <c r="J14" s="79" t="s">
        <v>18</v>
      </c>
      <c r="K14" s="79" t="s">
        <v>12</v>
      </c>
    </row>
    <row r="15" spans="2:11" x14ac:dyDescent="0.2">
      <c r="B15" s="81"/>
      <c r="C15" s="81"/>
      <c r="D15" s="82"/>
      <c r="E15" s="83"/>
      <c r="F15" s="84"/>
      <c r="G15" s="85" t="s">
        <v>19</v>
      </c>
      <c r="H15" s="83"/>
      <c r="I15" s="86" t="s">
        <v>9</v>
      </c>
      <c r="J15" s="86" t="s">
        <v>11</v>
      </c>
      <c r="K15" s="86" t="s">
        <v>13</v>
      </c>
    </row>
    <row r="16" spans="2:11" x14ac:dyDescent="0.2">
      <c r="B16" s="87"/>
      <c r="C16" s="87" t="s">
        <v>7</v>
      </c>
      <c r="D16" s="88" t="s">
        <v>8</v>
      </c>
      <c r="E16" s="89" t="s">
        <v>9</v>
      </c>
      <c r="F16" s="87" t="s">
        <v>7</v>
      </c>
      <c r="G16" s="88" t="s">
        <v>8</v>
      </c>
      <c r="H16" s="89" t="s">
        <v>9</v>
      </c>
      <c r="I16" s="89"/>
      <c r="J16" s="89"/>
      <c r="K16" s="89"/>
    </row>
    <row r="17" spans="2:11" x14ac:dyDescent="0.2">
      <c r="B17" s="15"/>
      <c r="C17" s="63"/>
      <c r="D17" s="63"/>
      <c r="E17" s="63"/>
      <c r="F17" s="63"/>
      <c r="G17" s="63"/>
      <c r="H17" s="63"/>
      <c r="I17" s="91"/>
      <c r="J17" s="91"/>
      <c r="K17" s="91"/>
    </row>
    <row r="18" spans="2:11" x14ac:dyDescent="0.2">
      <c r="B18" s="92"/>
      <c r="C18" s="63"/>
      <c r="D18" s="63"/>
      <c r="E18" s="63">
        <f t="shared" ref="E18" si="0">C18-D18</f>
        <v>0</v>
      </c>
      <c r="F18" s="63"/>
      <c r="G18" s="93"/>
      <c r="H18" s="63"/>
      <c r="I18" s="91"/>
      <c r="J18" s="91"/>
      <c r="K18" s="91"/>
    </row>
    <row r="19" spans="2:11" x14ac:dyDescent="0.2">
      <c r="B19" s="92"/>
      <c r="C19" s="63"/>
      <c r="D19" s="63"/>
      <c r="E19" s="63"/>
      <c r="F19" s="63"/>
      <c r="G19" s="93"/>
      <c r="H19" s="63"/>
      <c r="I19" s="91"/>
      <c r="J19" s="91"/>
      <c r="K19" s="91"/>
    </row>
    <row r="20" spans="2:11" x14ac:dyDescent="0.2">
      <c r="B20" s="92"/>
      <c r="C20" s="63"/>
      <c r="D20" s="63"/>
      <c r="E20" s="63"/>
      <c r="F20" s="63"/>
      <c r="G20" s="93"/>
      <c r="H20" s="63"/>
      <c r="I20" s="92"/>
      <c r="J20" s="91"/>
      <c r="K20" s="91"/>
    </row>
    <row r="21" spans="2:11" x14ac:dyDescent="0.2">
      <c r="B21" s="90"/>
      <c r="C21" s="63"/>
      <c r="D21" s="63"/>
      <c r="E21" s="63"/>
      <c r="F21" s="63"/>
      <c r="G21" s="63"/>
      <c r="H21" s="63"/>
      <c r="I21" s="91"/>
      <c r="J21" s="91"/>
      <c r="K21" s="91"/>
    </row>
    <row r="22" spans="2:11" s="74" customFormat="1" x14ac:dyDescent="0.2">
      <c r="B22" s="94" t="s">
        <v>16</v>
      </c>
      <c r="C22" s="95">
        <f>SUM(C18:C20)</f>
        <v>0</v>
      </c>
      <c r="D22" s="95">
        <f>SUM(D18:D20)</f>
        <v>0</v>
      </c>
      <c r="E22" s="95">
        <f>SUM(E18:E20)</f>
        <v>0</v>
      </c>
      <c r="F22" s="96">
        <f>SUM(F18:F21)</f>
        <v>0</v>
      </c>
      <c r="G22" s="96">
        <f>SUM(G18:G21)</f>
        <v>0</v>
      </c>
      <c r="H22" s="96">
        <f>SUM(H18:H21)</f>
        <v>0</v>
      </c>
      <c r="I22" s="94"/>
      <c r="J22" s="94"/>
      <c r="K22" s="94"/>
    </row>
    <row r="23" spans="2:11" x14ac:dyDescent="0.2">
      <c r="B23" s="91"/>
      <c r="C23" s="63"/>
      <c r="D23" s="63"/>
      <c r="E23" s="63"/>
      <c r="F23" s="63"/>
      <c r="G23" s="63"/>
      <c r="H23" s="63"/>
      <c r="I23" s="91"/>
      <c r="J23" s="91"/>
      <c r="K23" s="91"/>
    </row>
    <row r="24" spans="2:11" x14ac:dyDescent="0.2">
      <c r="C24" s="63"/>
      <c r="D24" s="63"/>
      <c r="E24" s="63"/>
      <c r="F24" s="63"/>
      <c r="G24" s="63"/>
      <c r="H24" s="63"/>
      <c r="I24" s="91"/>
      <c r="J24" s="91"/>
      <c r="K24" s="91"/>
    </row>
    <row r="25" spans="2:11" x14ac:dyDescent="0.2">
      <c r="B25" s="92"/>
      <c r="C25" s="63"/>
      <c r="D25" s="93"/>
      <c r="E25" s="63"/>
      <c r="F25" s="63"/>
      <c r="G25" s="93"/>
      <c r="H25" s="63"/>
      <c r="I25" s="91"/>
      <c r="J25" s="91"/>
      <c r="K25" s="91"/>
    </row>
    <row r="26" spans="2:11" x14ac:dyDescent="0.2">
      <c r="B26" s="106" t="s">
        <v>37</v>
      </c>
      <c r="C26" s="107"/>
      <c r="D26" s="93"/>
      <c r="E26" s="63"/>
      <c r="F26" s="63"/>
      <c r="G26" s="93"/>
      <c r="H26" s="63"/>
      <c r="I26" s="91"/>
      <c r="J26" s="91"/>
      <c r="K26" s="91"/>
    </row>
    <row r="27" spans="2:11" x14ac:dyDescent="0.2">
      <c r="B27" s="106" t="s">
        <v>40</v>
      </c>
      <c r="C27" s="107"/>
      <c r="D27" s="93"/>
      <c r="E27" s="63"/>
      <c r="F27" s="63"/>
      <c r="G27" s="93"/>
      <c r="H27" s="63"/>
      <c r="I27" s="91"/>
      <c r="J27" s="91"/>
      <c r="K27" s="91"/>
    </row>
    <row r="28" spans="2:11" x14ac:dyDescent="0.2">
      <c r="B28" s="106" t="s">
        <v>39</v>
      </c>
      <c r="C28" s="107"/>
      <c r="D28" s="93"/>
      <c r="E28" s="63"/>
      <c r="F28" s="63"/>
      <c r="G28" s="93"/>
      <c r="H28" s="63"/>
      <c r="I28" s="91"/>
      <c r="J28" s="91"/>
      <c r="K28" s="91"/>
    </row>
    <row r="29" spans="2:11" x14ac:dyDescent="0.2">
      <c r="B29" s="92"/>
      <c r="C29" s="63"/>
      <c r="D29" s="93"/>
      <c r="E29" s="63"/>
      <c r="F29" s="63"/>
      <c r="G29" s="93"/>
      <c r="H29" s="63"/>
      <c r="I29" s="91"/>
      <c r="J29" s="91"/>
      <c r="K29" s="91"/>
    </row>
    <row r="30" spans="2:11" x14ac:dyDescent="0.2">
      <c r="B30" s="92"/>
      <c r="C30" s="63"/>
      <c r="D30" s="93"/>
      <c r="E30" s="63"/>
      <c r="F30" s="63"/>
      <c r="G30" s="93"/>
      <c r="H30" s="63"/>
      <c r="I30" s="92"/>
      <c r="J30" s="91"/>
      <c r="K30" s="91"/>
    </row>
    <row r="31" spans="2:11" x14ac:dyDescent="0.2">
      <c r="B31" s="94"/>
      <c r="C31" s="97"/>
      <c r="D31" s="97"/>
      <c r="E31" s="97"/>
      <c r="F31" s="63"/>
      <c r="G31" s="63"/>
      <c r="H31" s="63"/>
      <c r="I31" s="91"/>
      <c r="J31" s="91"/>
      <c r="K31" s="91"/>
    </row>
    <row r="32" spans="2:11" x14ac:dyDescent="0.2">
      <c r="B32" s="94"/>
      <c r="C32" s="97"/>
      <c r="D32" s="97"/>
      <c r="E32" s="97"/>
      <c r="F32" s="63"/>
      <c r="G32" s="63"/>
      <c r="H32" s="63"/>
      <c r="I32" s="91"/>
      <c r="J32" s="91"/>
      <c r="K32" s="91"/>
    </row>
    <row r="33" spans="2:11" x14ac:dyDescent="0.2">
      <c r="B33" s="94"/>
      <c r="C33" s="97"/>
      <c r="D33" s="97"/>
      <c r="E33" s="97"/>
      <c r="F33" s="63"/>
      <c r="G33" s="63"/>
      <c r="H33" s="63"/>
      <c r="I33" s="91"/>
      <c r="J33" s="91"/>
      <c r="K33" s="91"/>
    </row>
    <row r="34" spans="2:11" s="74" customFormat="1" x14ac:dyDescent="0.2">
      <c r="B34" s="90" t="s">
        <v>25</v>
      </c>
      <c r="C34" s="96">
        <f>C22</f>
        <v>0</v>
      </c>
      <c r="D34" s="96">
        <f>D22</f>
        <v>0</v>
      </c>
      <c r="E34" s="96">
        <f>D34-C34</f>
        <v>0</v>
      </c>
      <c r="F34" s="96"/>
      <c r="G34" s="96"/>
      <c r="H34" s="96"/>
      <c r="I34" s="94"/>
      <c r="J34" s="94"/>
      <c r="K34" s="94"/>
    </row>
  </sheetData>
  <mergeCells count="8">
    <mergeCell ref="B5:J5"/>
    <mergeCell ref="B6:J6"/>
    <mergeCell ref="C14:E14"/>
    <mergeCell ref="F14:H14"/>
    <mergeCell ref="B7:J7"/>
    <mergeCell ref="B8:J8"/>
    <mergeCell ref="C13:E13"/>
    <mergeCell ref="F13:H1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4" workbookViewId="0">
      <selection activeCell="E12" sqref="E12"/>
    </sheetView>
  </sheetViews>
  <sheetFormatPr defaultColWidth="8.85546875" defaultRowHeight="18.75" x14ac:dyDescent="0.3"/>
  <cols>
    <col min="1" max="2" width="8.85546875" style="109"/>
    <col min="3" max="3" width="96.42578125" style="109" customWidth="1"/>
    <col min="4" max="4" width="19.42578125" style="109" customWidth="1"/>
    <col min="5" max="5" width="16.140625" style="109" customWidth="1"/>
    <col min="6" max="6" width="16" style="109" bestFit="1" customWidth="1"/>
    <col min="7" max="7" width="14.5703125" style="109" bestFit="1" customWidth="1"/>
    <col min="8" max="8" width="17" style="109" customWidth="1"/>
    <col min="9" max="9" width="11.85546875" style="109" customWidth="1"/>
    <col min="10" max="12" width="8.85546875" style="109"/>
    <col min="13" max="13" width="27" style="109" customWidth="1"/>
    <col min="14" max="16384" width="8.85546875" style="109"/>
  </cols>
  <sheetData>
    <row r="1" spans="1:9" x14ac:dyDescent="0.3">
      <c r="A1" s="215" t="s">
        <v>81</v>
      </c>
      <c r="B1" s="215"/>
      <c r="C1" s="215"/>
      <c r="D1" s="215"/>
      <c r="E1" s="215"/>
    </row>
    <row r="2" spans="1:9" ht="39.950000000000003" customHeight="1" x14ac:dyDescent="0.3">
      <c r="A2" s="216" t="s">
        <v>92</v>
      </c>
      <c r="B2" s="216"/>
      <c r="C2" s="216"/>
      <c r="D2" s="216"/>
      <c r="E2" s="216"/>
      <c r="F2" s="110"/>
      <c r="G2" s="110"/>
      <c r="H2" s="110"/>
      <c r="I2" s="110"/>
    </row>
    <row r="3" spans="1:9" x14ac:dyDescent="0.3">
      <c r="A3" s="110"/>
      <c r="B3" s="110"/>
      <c r="C3" s="110"/>
      <c r="D3" s="111"/>
      <c r="E3" s="110"/>
      <c r="F3" s="110"/>
      <c r="G3" s="110"/>
      <c r="H3" s="110"/>
      <c r="I3" s="110"/>
    </row>
    <row r="4" spans="1:9" x14ac:dyDescent="0.3">
      <c r="A4" s="213" t="s">
        <v>42</v>
      </c>
      <c r="B4" s="213"/>
      <c r="C4" s="213"/>
      <c r="D4" s="213"/>
      <c r="E4" s="213"/>
      <c r="F4" s="110"/>
      <c r="G4" s="110"/>
      <c r="H4" s="110"/>
      <c r="I4" s="110"/>
    </row>
    <row r="5" spans="1:9" x14ac:dyDescent="0.3">
      <c r="A5" s="110"/>
      <c r="C5" s="110"/>
      <c r="D5" s="112"/>
    </row>
    <row r="6" spans="1:9" ht="19.5" thickBot="1" x14ac:dyDescent="0.35">
      <c r="A6" s="110">
        <v>1</v>
      </c>
      <c r="C6" s="110" t="s">
        <v>43</v>
      </c>
      <c r="D6" s="122"/>
    </row>
    <row r="7" spans="1:9" ht="19.5" thickTop="1" x14ac:dyDescent="0.3">
      <c r="C7" s="110"/>
    </row>
    <row r="8" spans="1:9" ht="31.5" x14ac:dyDescent="0.3">
      <c r="A8" s="110">
        <v>2</v>
      </c>
      <c r="C8" s="110" t="s">
        <v>44</v>
      </c>
      <c r="D8" s="113" t="s">
        <v>45</v>
      </c>
      <c r="E8" s="113" t="s">
        <v>46</v>
      </c>
    </row>
    <row r="9" spans="1:9" x14ac:dyDescent="0.3">
      <c r="A9" s="110"/>
      <c r="B9" s="110"/>
      <c r="C9" s="110"/>
      <c r="F9" s="114"/>
    </row>
    <row r="10" spans="1:9" x14ac:dyDescent="0.3">
      <c r="A10" s="110"/>
      <c r="B10" s="110" t="s">
        <v>47</v>
      </c>
      <c r="C10" s="115" t="s">
        <v>48</v>
      </c>
      <c r="D10" s="127"/>
      <c r="E10" s="127"/>
      <c r="F10" s="114"/>
    </row>
    <row r="11" spans="1:9" x14ac:dyDescent="0.3">
      <c r="A11" s="110"/>
      <c r="B11" s="110"/>
      <c r="C11" s="115"/>
      <c r="D11" s="127"/>
      <c r="E11" s="127"/>
      <c r="F11" s="114"/>
      <c r="G11" s="147"/>
      <c r="H11" s="147"/>
    </row>
    <row r="12" spans="1:9" x14ac:dyDescent="0.3">
      <c r="A12" s="110"/>
      <c r="B12" s="110" t="s">
        <v>49</v>
      </c>
      <c r="C12" s="115" t="s">
        <v>50</v>
      </c>
      <c r="D12" s="127">
        <f>'uses of fund by component'!C14+'uses of fund by component'!C16+'uses of fund by component'!C17+'uses of fund by component'!C18+'uses of fund by component'!C19+'uses of fund by component'!C20+'uses of fund by component'!C21+'uses of fund by component'!C22+'uses of fund by component'!C23+'uses of fund by component'!C24+'uses of fund by component'!C25+'uses of fund by component'!C26+'uses of fund by component'!C27+'uses of fund by component'!C28+'uses of fund by component'!C29+'uses of fund by component'!C30+'uses of fund by component'!C31+'uses of fund by component'!C36+'uses of fund by component'!C37+'uses of fund by component'!C38+'uses of fund by component'!C39+'uses of fund by component'!C40+'uses of fund by component'!C41+'uses of fund by component'!C42+'uses of fund by component'!C43+'uses of fund by component'!C44+'uses of fund by component'!C45+'uses of fund by component'!C46+'uses of fund by component'!C47+'uses of fund by component'!C48+'uses of fund by component'!C49+'uses of fund by component'!C50+'uses of fund by component'!C51+'uses of fund by component'!C52+'uses of fund by component'!C134+'uses of fund by component'!C135+'uses of fund by component'!C136+'uses of fund by component'!C137+'uses of fund by component'!C138+'uses of fund by component'!C139+'uses of fund by component'!C140+'uses of fund by component'!C141+'uses of fund by component'!C142+'uses of fund by component'!C143+'uses of fund by component'!C144+'uses of fund by component'!C145+'uses of fund by component'!C152+'uses of fund by component'!C153+'uses of fund by component'!C154+'uses of fund by component'!C155+'uses of fund by component'!C163+'uses of fund by component'!C164+'uses of fund by component'!C165+'uses of fund by component'!C166+'uses of fund by component'!C167+'uses of fund by component'!C168+'uses of fund by component'!C171+'uses of fund by component'!C181+'uses of fund by component'!C182+'uses of fund by component'!C183+'uses of fund by component'!C184+'uses of fund by component'!C215+'uses of fund by component'!C219+'uses of fund by component'!C220+'uses of fund by component'!C238+'uses of fund by component'!C34+'uses of fund by component'!C35-E12</f>
        <v>3550.8728070175384</v>
      </c>
      <c r="E12" s="127">
        <v>9334.15</v>
      </c>
      <c r="F12" s="114"/>
    </row>
    <row r="13" spans="1:9" x14ac:dyDescent="0.3">
      <c r="A13" s="110"/>
      <c r="B13" s="110"/>
      <c r="C13" s="115"/>
      <c r="D13" s="120"/>
      <c r="E13" s="120"/>
      <c r="F13" s="114"/>
    </row>
    <row r="14" spans="1:9" ht="19.5" thickBot="1" x14ac:dyDescent="0.35">
      <c r="A14" s="110"/>
      <c r="B14" s="110"/>
      <c r="C14" s="110" t="s">
        <v>51</v>
      </c>
      <c r="D14" s="121">
        <f>D10+D12+E10+E12</f>
        <v>12885.022807017538</v>
      </c>
      <c r="E14" s="120"/>
      <c r="F14" s="114"/>
    </row>
    <row r="15" spans="1:9" ht="19.5" thickTop="1" x14ac:dyDescent="0.3">
      <c r="A15" s="110"/>
      <c r="B15" s="110"/>
      <c r="C15" s="110"/>
      <c r="D15" s="120"/>
      <c r="E15" s="120"/>
      <c r="F15" s="114"/>
    </row>
    <row r="16" spans="1:9" ht="19.5" thickBot="1" x14ac:dyDescent="0.35">
      <c r="A16" s="110">
        <v>3</v>
      </c>
      <c r="B16" s="110"/>
      <c r="C16" s="110" t="s">
        <v>52</v>
      </c>
      <c r="D16" s="121"/>
      <c r="E16" s="120"/>
      <c r="F16" s="114"/>
    </row>
    <row r="17" spans="1:9" ht="19.5" thickTop="1" x14ac:dyDescent="0.3">
      <c r="A17" s="110"/>
      <c r="B17" s="110"/>
      <c r="C17" s="110"/>
      <c r="E17" s="116"/>
      <c r="F17" s="114"/>
    </row>
    <row r="18" spans="1:9" x14ac:dyDescent="0.3">
      <c r="A18" s="213" t="s">
        <v>53</v>
      </c>
      <c r="B18" s="213"/>
      <c r="C18" s="213"/>
      <c r="D18" s="213"/>
      <c r="E18" s="213"/>
      <c r="F18" s="114"/>
    </row>
    <row r="19" spans="1:9" ht="19.5" thickBot="1" x14ac:dyDescent="0.35">
      <c r="A19" s="110">
        <v>4</v>
      </c>
      <c r="B19" s="110"/>
      <c r="C19" s="110" t="s">
        <v>54</v>
      </c>
      <c r="D19" s="119"/>
      <c r="E19" s="123"/>
      <c r="F19" s="110"/>
      <c r="G19" s="110"/>
      <c r="H19" s="110"/>
      <c r="I19" s="110"/>
    </row>
    <row r="20" spans="1:9" ht="19.5" thickTop="1" x14ac:dyDescent="0.3">
      <c r="A20" s="110"/>
      <c r="B20" s="110"/>
      <c r="C20" s="110"/>
      <c r="D20" s="126"/>
      <c r="E20" s="123"/>
      <c r="F20" s="110"/>
      <c r="G20" s="110"/>
      <c r="H20" s="110"/>
      <c r="I20" s="110"/>
    </row>
    <row r="21" spans="1:9" ht="19.5" thickBot="1" x14ac:dyDescent="0.35">
      <c r="A21" s="110">
        <v>5</v>
      </c>
      <c r="B21" s="110"/>
      <c r="C21" s="110" t="s">
        <v>55</v>
      </c>
      <c r="D21" s="119">
        <v>0</v>
      </c>
      <c r="E21" s="123"/>
      <c r="F21" s="110"/>
      <c r="G21" s="110"/>
      <c r="H21" s="110"/>
      <c r="I21" s="110"/>
    </row>
    <row r="22" spans="1:9" ht="19.5" thickTop="1" x14ac:dyDescent="0.3">
      <c r="A22" s="110"/>
      <c r="B22" s="110"/>
      <c r="C22" s="110"/>
      <c r="D22" s="126"/>
      <c r="E22" s="123"/>
      <c r="F22" s="110"/>
      <c r="G22" s="110"/>
      <c r="H22" s="110"/>
      <c r="I22" s="110"/>
    </row>
    <row r="23" spans="1:9" ht="19.5" thickBot="1" x14ac:dyDescent="0.35">
      <c r="A23" s="110">
        <v>6</v>
      </c>
      <c r="B23" s="110"/>
      <c r="C23" s="110" t="s">
        <v>56</v>
      </c>
      <c r="D23" s="119"/>
      <c r="E23" s="123"/>
      <c r="F23" s="110"/>
      <c r="G23" s="110"/>
      <c r="H23" s="110"/>
      <c r="I23" s="110"/>
    </row>
    <row r="24" spans="1:9" ht="19.5" thickTop="1" x14ac:dyDescent="0.3">
      <c r="A24" s="110"/>
      <c r="B24" s="110"/>
      <c r="C24" s="110"/>
      <c r="D24" s="125"/>
      <c r="E24" s="123"/>
      <c r="F24" s="110"/>
      <c r="G24" s="110"/>
      <c r="H24" s="110"/>
      <c r="I24" s="110"/>
    </row>
    <row r="25" spans="1:9" ht="19.5" thickBot="1" x14ac:dyDescent="0.35">
      <c r="C25" s="110" t="s">
        <v>57</v>
      </c>
      <c r="D25" s="122">
        <f>D19+D21+D23</f>
        <v>0</v>
      </c>
      <c r="E25" s="123"/>
      <c r="F25" s="110"/>
      <c r="G25" s="110"/>
      <c r="H25" s="110"/>
      <c r="I25" s="110"/>
    </row>
    <row r="26" spans="1:9" ht="19.5" thickTop="1" x14ac:dyDescent="0.3">
      <c r="A26" s="213" t="s">
        <v>58</v>
      </c>
      <c r="B26" s="213"/>
      <c r="C26" s="213"/>
      <c r="D26" s="213"/>
      <c r="E26" s="213"/>
      <c r="F26" s="114"/>
    </row>
    <row r="27" spans="1:9" ht="19.5" thickBot="1" x14ac:dyDescent="0.35">
      <c r="A27" s="110">
        <v>7</v>
      </c>
      <c r="B27" s="110"/>
      <c r="C27" s="110" t="s">
        <v>58</v>
      </c>
      <c r="D27" s="122">
        <f>'uses of fund by component'!C15+'uses of fund by component'!C53+'uses of fund by component'!C55+'uses of fund by component'!C56+'uses of fund by component'!C57+'uses of fund by component'!C58+'uses of fund by component'!C59+'uses of fund by component'!C60+'uses of fund by component'!C61+'uses of fund by component'!C62+'uses of fund by component'!C63+'uses of fund by component'!C78+'uses of fund by component'!C79+'uses of fund by component'!C80+'uses of fund by component'!C81+'uses of fund by component'!C82+'uses of fund by component'!C83+'uses of fund by component'!C84+'uses of fund by component'!C85+'uses of fund by component'!C86+'uses of fund by component'!C87+'uses of fund by component'!C88+'uses of fund by component'!C89+'uses of fund by component'!C90+'uses of fund by component'!C91+'uses of fund by component'!C92+'uses of fund by component'!C93+'uses of fund by component'!C94+'uses of fund by component'!C95+'uses of fund by component'!C96+'uses of fund by component'!C97+'uses of fund by component'!C98+'uses of fund by component'!C99+'uses of fund by component'!C100+'uses of fund by component'!C101+'uses of fund by component'!C102+'uses of fund by component'!C103+'uses of fund by component'!C104+'uses of fund by component'!C105+'uses of fund by component'!C106+'uses of fund by component'!C107+'uses of fund by component'!C108+'uses of fund by component'!C132+'uses of fund by component'!C133+'uses of fund by component'!C146+'uses of fund by component'!C147+'uses of fund by component'!C148+'uses of fund by component'!C149+'uses of fund by component'!C150+'uses of fund by component'!C151+'uses of fund by component'!C156+'uses of fund by component'!C157</f>
        <v>79042.154385964939</v>
      </c>
      <c r="E27" s="123"/>
      <c r="F27" s="114"/>
    </row>
    <row r="28" spans="1:9" ht="19.5" thickTop="1" x14ac:dyDescent="0.3">
      <c r="A28" s="110"/>
      <c r="B28" s="110"/>
      <c r="C28" s="110"/>
      <c r="D28" s="124"/>
      <c r="E28" s="123"/>
      <c r="F28" s="114"/>
    </row>
    <row r="29" spans="1:9" x14ac:dyDescent="0.3">
      <c r="A29" s="213" t="s">
        <v>59</v>
      </c>
      <c r="B29" s="213"/>
      <c r="C29" s="213"/>
      <c r="D29" s="213"/>
      <c r="E29" s="213"/>
      <c r="F29" s="114"/>
    </row>
    <row r="30" spans="1:9" ht="19.5" thickBot="1" x14ac:dyDescent="0.35">
      <c r="A30" s="110">
        <v>8</v>
      </c>
      <c r="C30" s="110" t="s">
        <v>60</v>
      </c>
      <c r="D30" s="122">
        <f>'uses of fund by component'!C204+'uses of fund by component'!C205+'uses of fund by component'!C206+'uses of fund by component'!C207+'uses of fund by component'!C208+'uses of fund by component'!C209+'uses of fund by component'!C210+'uses of fund by component'!C211+'uses of fund by component'!C212+'uses of fund by component'!C214+'uses of fund by component'!C217+'uses of fund by component'!C226+'uses of fund by component'!C227</f>
        <v>10816.48859649123</v>
      </c>
      <c r="E30" s="125"/>
    </row>
    <row r="31" spans="1:9" ht="19.5" thickTop="1" x14ac:dyDescent="0.3">
      <c r="A31" s="110"/>
      <c r="C31" s="110"/>
      <c r="D31" s="126"/>
      <c r="E31" s="125"/>
    </row>
    <row r="32" spans="1:9" x14ac:dyDescent="0.3">
      <c r="A32" s="213" t="s">
        <v>61</v>
      </c>
      <c r="B32" s="213"/>
      <c r="C32" s="213"/>
      <c r="D32" s="213"/>
      <c r="E32" s="213"/>
    </row>
    <row r="33" spans="1:6" ht="19.5" thickBot="1" x14ac:dyDescent="0.35">
      <c r="A33" s="110">
        <v>9</v>
      </c>
      <c r="C33" s="110" t="s">
        <v>62</v>
      </c>
      <c r="D33" s="122">
        <f>'uses of fund by component'!C69+'uses of fund by component'!C70+'uses of fund by component'!C71</f>
        <v>413119.18421052629</v>
      </c>
    </row>
    <row r="34" spans="1:6" ht="19.5" thickTop="1" x14ac:dyDescent="0.3">
      <c r="A34" s="110"/>
      <c r="C34" s="110"/>
    </row>
    <row r="35" spans="1:6" ht="19.7" customHeight="1" x14ac:dyDescent="0.3">
      <c r="A35" s="214" t="s">
        <v>63</v>
      </c>
      <c r="B35" s="214"/>
      <c r="C35" s="214"/>
      <c r="D35" s="214"/>
      <c r="E35" s="214"/>
    </row>
    <row r="36" spans="1:6" ht="19.5" thickBot="1" x14ac:dyDescent="0.35">
      <c r="A36" s="110">
        <v>10</v>
      </c>
      <c r="B36" s="117"/>
      <c r="C36" s="117" t="s">
        <v>64</v>
      </c>
      <c r="D36" s="128">
        <f>'uses of fund by component'!C254+'uses of fund by component'!C255+'uses of fund by component'!C256+'uses of fund by component'!C260</f>
        <v>0</v>
      </c>
      <c r="E36" s="114"/>
      <c r="F36" s="114"/>
    </row>
    <row r="37" spans="1:6" ht="19.5" thickTop="1" x14ac:dyDescent="0.3">
      <c r="A37" s="110"/>
      <c r="B37" s="117"/>
      <c r="C37" s="117"/>
      <c r="D37" s="118"/>
      <c r="E37" s="114"/>
      <c r="F37" s="114"/>
    </row>
    <row r="38" spans="1:6" x14ac:dyDescent="0.3">
      <c r="A38" s="213" t="s">
        <v>65</v>
      </c>
      <c r="B38" s="213"/>
      <c r="C38" s="213"/>
      <c r="D38" s="213"/>
      <c r="E38" s="213"/>
      <c r="F38" s="114"/>
    </row>
    <row r="39" spans="1:6" ht="19.5" thickBot="1" x14ac:dyDescent="0.35">
      <c r="A39" s="110">
        <v>11</v>
      </c>
      <c r="C39" s="110" t="s">
        <v>66</v>
      </c>
      <c r="D39" s="122">
        <f>'uses of fund by component'!C32+'uses of fund by component'!C33+'uses of fund by component'!C54+'uses of fund by component'!C162+'uses of fund by component'!C169+'uses of fund by component'!C170+'uses of fund by component'!C172+'uses of fund by component'!C173+'uses of fund by component'!C174+'uses of fund by component'!C175+'uses of fund by component'!C176+'uses of fund by component'!C177+'uses of fund by component'!C178+'uses of fund by component'!C179+'uses of fund by component'!C180+'uses of fund by component'!C185+'uses of fund by component'!C186+'uses of fund by component'!C187+'uses of fund by component'!C188+'uses of fund by component'!C189+'uses of fund by component'!C190+'uses of fund by component'!C191+'uses of fund by component'!C192+'uses of fund by component'!C193+'uses of fund by component'!C194+'uses of fund by component'!C195+'uses of fund by component'!C196+'uses of fund by component'!C197+'uses of fund by component'!C198+'uses of fund by component'!C199+'uses of fund by component'!C200+'uses of fund by component'!C201+'uses of fund by component'!C202+'uses of fund by component'!C203+'uses of fund by component'!C213+'uses of fund by component'!C216+'uses of fund by component'!C218+'uses of fund by component'!C221+'uses of fund by component'!C222+'uses of fund by component'!C223+'uses of fund by component'!C224+'uses of fund by component'!C225+'uses of fund by component'!C228+'uses of fund by component'!C229+'uses of fund by component'!C230+'uses of fund by component'!C231+'uses of fund by component'!C232+'uses of fund by component'!C233+'uses of fund by component'!C234+'uses of fund by component'!C235+'uses of fund by component'!C236+'uses of fund by component'!C237+'uses of fund by component'!C239+'uses of fund by component'!C240+'uses of fund by component'!C241+'uses of fund by component'!C242+'uses of fund by component'!C243+'uses of fund by component'!C244+'uses of fund by component'!C245</f>
        <v>39926.359122807029</v>
      </c>
    </row>
    <row r="40" spans="1:6" ht="19.5" thickTop="1" x14ac:dyDescent="0.3">
      <c r="A40" s="110"/>
      <c r="C40" s="110"/>
    </row>
    <row r="41" spans="1:6" ht="19.5" thickBot="1" x14ac:dyDescent="0.35">
      <c r="A41" s="110">
        <v>12</v>
      </c>
      <c r="B41" s="110"/>
      <c r="C41" s="110" t="s">
        <v>67</v>
      </c>
      <c r="D41" s="122">
        <f>'uses of fund by component'!C109</f>
        <v>9240</v>
      </c>
      <c r="E41" s="110"/>
    </row>
    <row r="42" spans="1:6" ht="19.5" thickTop="1" x14ac:dyDescent="0.3">
      <c r="B42" s="110"/>
      <c r="E42" s="110"/>
      <c r="F42" s="147"/>
    </row>
    <row r="43" spans="1:6" ht="19.5" thickBot="1" x14ac:dyDescent="0.35">
      <c r="B43" s="110"/>
      <c r="C43" s="110" t="s">
        <v>68</v>
      </c>
      <c r="D43" s="122">
        <f>D6+D14+D16+D25+D27+D30+D33+D36+D39+D41</f>
        <v>565029.20912280702</v>
      </c>
      <c r="E43" s="185"/>
      <c r="F43" s="147"/>
    </row>
    <row r="44" spans="1:6" ht="19.5" thickTop="1" x14ac:dyDescent="0.3"/>
    <row r="45" spans="1:6" x14ac:dyDescent="0.3">
      <c r="D45" s="147">
        <f>'uses of fund by component'!C279</f>
        <v>565029.2091228069</v>
      </c>
    </row>
    <row r="46" spans="1:6" x14ac:dyDescent="0.3">
      <c r="D46" s="147">
        <f>D45-D43</f>
        <v>0</v>
      </c>
    </row>
  </sheetData>
  <mergeCells count="9">
    <mergeCell ref="A32:E32"/>
    <mergeCell ref="A35:E35"/>
    <mergeCell ref="A38:E38"/>
    <mergeCell ref="A1:E1"/>
    <mergeCell ref="A2:E2"/>
    <mergeCell ref="A4:E4"/>
    <mergeCell ref="A18:E18"/>
    <mergeCell ref="A26:E26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Sources and Uses of Funds</vt:lpstr>
      <vt:lpstr>uses of fund by component</vt:lpstr>
      <vt:lpstr>Committed Fund by component</vt:lpstr>
      <vt:lpstr>NOTES </vt:lpstr>
      <vt:lpstr>'uses of fund by component'!Print_Titles</vt:lpstr>
    </vt:vector>
  </TitlesOfParts>
  <Company>TANROADS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2020-08-12T13:35:44Z</cp:lastPrinted>
  <dcterms:created xsi:type="dcterms:W3CDTF">2007-11-21T06:38:14Z</dcterms:created>
  <dcterms:modified xsi:type="dcterms:W3CDTF">2021-02-09T09:06:24Z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1358434020</vt:i4>
  </property>
  <property fmtid="{D5CDD505-2E9C-101B-9397-08002B2CF9AE}" pid="3" name="_EmailSubject">
    <vt:lpwstr>Proposed Financial  Schedules for the new CTCRP - TANROADS</vt:lpwstr>
  </property>
  <property fmtid="{D5CDD505-2E9C-101B-9397-08002B2CF9AE}" pid="4" name="_AuthorEmail">
    <vt:lpwstr>meritus.njeama@tanroads.org</vt:lpwstr>
  </property>
  <property fmtid="{D5CDD505-2E9C-101B-9397-08002B2CF9AE}" pid="5" name="_AuthorEmailDisplayName">
    <vt:lpwstr>meritus njeama</vt:lpwstr>
  </property>
  <property fmtid="{D5CDD505-2E9C-101B-9397-08002B2CF9AE}" pid="6" name="_ReviewingToolsShownOnce">
    <vt:lpwstr/>
  </property>
</Properties>
</file>