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CT ACCOUNTING\WORLD BANK PROJECT\RCEEES\2021 IUFR\"/>
    </mc:Choice>
  </mc:AlternateContent>
  <bookViews>
    <workbookView xWindow="0" yWindow="0" windowWidth="20490" windowHeight="7065"/>
  </bookViews>
  <sheets>
    <sheet name="Sources and Uses of Funds" sheetId="4" r:id="rId1"/>
    <sheet name="uses of fund by component" sheetId="8" r:id="rId2"/>
    <sheet name="Committed Fund by component" sheetId="10" r:id="rId3"/>
    <sheet name="NOTES " sheetId="16" r:id="rId4"/>
  </sheets>
  <definedNames>
    <definedName name="_xlnm.Print_Titles" localSheetId="1">'uses of fund by component'!$1:$4</definedName>
  </definedNames>
  <calcPr calcId="152511"/>
</workbook>
</file>

<file path=xl/calcChain.xml><?xml version="1.0" encoding="utf-8"?>
<calcChain xmlns="http://schemas.openxmlformats.org/spreadsheetml/2006/main">
  <c r="D41" i="16" l="1"/>
  <c r="C153" i="8"/>
  <c r="F15" i="4" l="1"/>
  <c r="D17" i="4"/>
  <c r="C178" i="8" l="1"/>
  <c r="C177" i="8"/>
  <c r="C176" i="8"/>
  <c r="C175" i="8"/>
  <c r="C174" i="8"/>
  <c r="C173" i="8"/>
  <c r="C172" i="8"/>
  <c r="C171" i="8"/>
  <c r="C170" i="8"/>
  <c r="C169" i="8"/>
  <c r="C168" i="8"/>
  <c r="C167" i="8"/>
  <c r="C166" i="8"/>
  <c r="C165" i="8"/>
  <c r="C164" i="8"/>
  <c r="C163" i="8"/>
  <c r="C162" i="8"/>
  <c r="C161" i="8"/>
  <c r="C160" i="8"/>
  <c r="C159" i="8"/>
  <c r="C158" i="8"/>
  <c r="C157" i="8"/>
  <c r="C156" i="8"/>
  <c r="C155" i="8"/>
  <c r="C154" i="8"/>
  <c r="C152" i="8"/>
  <c r="C151" i="8"/>
  <c r="C150" i="8"/>
  <c r="C149" i="8"/>
  <c r="C148" i="8"/>
  <c r="C147" i="8"/>
  <c r="C146" i="8"/>
  <c r="C145" i="8"/>
  <c r="C144" i="8"/>
  <c r="C143" i="8"/>
  <c r="C142" i="8"/>
  <c r="C141" i="8"/>
  <c r="C140" i="8"/>
  <c r="C139" i="8"/>
  <c r="C138" i="8"/>
  <c r="C137" i="8"/>
  <c r="C136" i="8"/>
  <c r="C135" i="8"/>
  <c r="C134" i="8"/>
  <c r="C133" i="8"/>
  <c r="C132" i="8"/>
  <c r="C131" i="8"/>
  <c r="C130" i="8"/>
  <c r="C129" i="8"/>
  <c r="C128" i="8"/>
  <c r="C127" i="8"/>
  <c r="C126" i="8"/>
  <c r="C125" i="8"/>
  <c r="C124" i="8"/>
  <c r="C123" i="8"/>
  <c r="C122" i="8"/>
  <c r="C121" i="8"/>
  <c r="C120" i="8"/>
  <c r="C119" i="8"/>
  <c r="C93" i="8"/>
  <c r="C92" i="8"/>
  <c r="C91" i="8"/>
  <c r="C90" i="8"/>
  <c r="C89" i="8"/>
  <c r="C88" i="8"/>
  <c r="C87" i="8"/>
  <c r="C86" i="8"/>
  <c r="C85" i="8"/>
  <c r="C84" i="8"/>
  <c r="C83" i="8"/>
  <c r="C82" i="8"/>
  <c r="C81" i="8"/>
  <c r="C80" i="8"/>
  <c r="C79" i="8"/>
  <c r="C78" i="8"/>
  <c r="C77" i="8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51" i="8"/>
  <c r="C111" i="8"/>
  <c r="C44" i="8"/>
  <c r="C43" i="8"/>
  <c r="C42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79" i="8"/>
  <c r="D39" i="8"/>
  <c r="E12" i="16" l="1"/>
  <c r="D14" i="16" s="1"/>
  <c r="D12" i="16"/>
  <c r="D39" i="16"/>
  <c r="C98" i="8"/>
  <c r="D33" i="16" l="1"/>
  <c r="D36" i="16" l="1"/>
  <c r="D25" i="16"/>
  <c r="C200" i="8"/>
  <c r="C39" i="8"/>
  <c r="C48" i="8" l="1"/>
  <c r="C108" i="8" l="1"/>
  <c r="D30" i="4" s="1"/>
  <c r="E30" i="4" s="1"/>
  <c r="F30" i="4" s="1"/>
  <c r="C116" i="8"/>
  <c r="C183" i="8"/>
  <c r="D28" i="4"/>
  <c r="E28" i="4" s="1"/>
  <c r="F28" i="4" s="1"/>
  <c r="D183" i="8"/>
  <c r="E183" i="8"/>
  <c r="F183" i="8"/>
  <c r="G183" i="8"/>
  <c r="H183" i="8"/>
  <c r="D48" i="8"/>
  <c r="E48" i="8"/>
  <c r="F48" i="8"/>
  <c r="F17" i="4"/>
  <c r="E17" i="4"/>
  <c r="E23" i="4" s="1"/>
  <c r="F23" i="4"/>
  <c r="D22" i="10"/>
  <c r="D108" i="8"/>
  <c r="E18" i="10"/>
  <c r="E22" i="10" s="1"/>
  <c r="G22" i="10"/>
  <c r="F22" i="10"/>
  <c r="C22" i="10"/>
  <c r="C34" i="10" s="1"/>
  <c r="H22" i="10"/>
  <c r="D98" i="8"/>
  <c r="D116" i="8"/>
  <c r="D200" i="8"/>
  <c r="E108" i="8"/>
  <c r="G116" i="8"/>
  <c r="F116" i="8"/>
  <c r="G39" i="8"/>
  <c r="F39" i="8"/>
  <c r="F200" i="8"/>
  <c r="G200" i="8"/>
  <c r="G108" i="8"/>
  <c r="F108" i="8"/>
  <c r="G48" i="8"/>
  <c r="E40" i="4"/>
  <c r="E38" i="4"/>
  <c r="E116" i="8"/>
  <c r="E203" i="8"/>
  <c r="E204" i="8"/>
  <c r="D23" i="4"/>
  <c r="E98" i="8"/>
  <c r="E200" i="8"/>
  <c r="H39" i="8"/>
  <c r="D206" i="8"/>
  <c r="C206" i="8"/>
  <c r="E39" i="8"/>
  <c r="D27" i="4"/>
  <c r="D31" i="4" l="1"/>
  <c r="E31" i="4" s="1"/>
  <c r="F31" i="4" s="1"/>
  <c r="D27" i="16"/>
  <c r="D43" i="16" s="1"/>
  <c r="E27" i="4"/>
  <c r="F27" i="4" s="1"/>
  <c r="C211" i="8"/>
  <c r="E46" i="4"/>
  <c r="F46" i="4" s="1"/>
  <c r="D34" i="10"/>
  <c r="E34" i="10" s="1"/>
  <c r="D32" i="4"/>
  <c r="E32" i="4" s="1"/>
  <c r="F32" i="4" s="1"/>
  <c r="E206" i="8"/>
  <c r="H116" i="8"/>
  <c r="D211" i="8"/>
  <c r="D29" i="4"/>
  <c r="E29" i="4" s="1"/>
  <c r="F29" i="4" s="1"/>
  <c r="D46" i="4"/>
  <c r="D48" i="4" s="1"/>
  <c r="D33" i="4"/>
  <c r="E33" i="4" s="1"/>
  <c r="F33" i="4" s="1"/>
  <c r="D45" i="16" l="1"/>
  <c r="D35" i="4"/>
  <c r="F35" i="4"/>
  <c r="F36" i="4" s="1"/>
  <c r="F49" i="4" s="1"/>
  <c r="E48" i="4"/>
  <c r="F48" i="4" s="1"/>
  <c r="E211" i="8"/>
  <c r="D36" i="4" l="1"/>
  <c r="D49" i="4" s="1"/>
  <c r="D39" i="4"/>
  <c r="D41" i="4" s="1"/>
  <c r="D50" i="4" s="1"/>
  <c r="E35" i="4"/>
  <c r="E39" i="4" s="1"/>
  <c r="F39" i="4"/>
  <c r="E36" i="4" l="1"/>
  <c r="E49" i="4" s="1"/>
  <c r="E41" i="4"/>
  <c r="E50" i="4" s="1"/>
  <c r="F41" i="4" l="1"/>
  <c r="F50" i="4" s="1"/>
</calcChain>
</file>

<file path=xl/sharedStrings.xml><?xml version="1.0" encoding="utf-8"?>
<sst xmlns="http://schemas.openxmlformats.org/spreadsheetml/2006/main" count="266" uniqueCount="166">
  <si>
    <t>Total</t>
  </si>
  <si>
    <t>Expenditure</t>
  </si>
  <si>
    <t>Sources of Fund</t>
  </si>
  <si>
    <t>Opening Cash Balance</t>
  </si>
  <si>
    <t>Add Receipts</t>
  </si>
  <si>
    <t>Total Financing</t>
  </si>
  <si>
    <t>Total Closing Cash Balance</t>
  </si>
  <si>
    <t>Actual</t>
  </si>
  <si>
    <t>Planned</t>
  </si>
  <si>
    <t>Variance</t>
  </si>
  <si>
    <t>Others</t>
  </si>
  <si>
    <t>Project</t>
  </si>
  <si>
    <t>Revised</t>
  </si>
  <si>
    <t>PAD</t>
  </si>
  <si>
    <t>Closing Balances</t>
  </si>
  <si>
    <t>Total Uses of Funds by Components</t>
  </si>
  <si>
    <t>Sub Total</t>
  </si>
  <si>
    <t>Explanation of</t>
  </si>
  <si>
    <t xml:space="preserve">PAD /Life of </t>
  </si>
  <si>
    <t>Financial Year End</t>
  </si>
  <si>
    <t>Cummulative for</t>
  </si>
  <si>
    <t xml:space="preserve">Cummulative for  </t>
  </si>
  <si>
    <t>Statement of Sources and Uses of Funds</t>
  </si>
  <si>
    <t>World Bank IDA Funds</t>
  </si>
  <si>
    <t>Uses of Funds (Breakdown)</t>
  </si>
  <si>
    <t xml:space="preserve">Grand Total Uses of Funds </t>
  </si>
  <si>
    <t xml:space="preserve">Less:  ACE Expenditure </t>
  </si>
  <si>
    <t>Government Funds</t>
  </si>
  <si>
    <t>(USD)</t>
  </si>
  <si>
    <t>Contingency</t>
  </si>
  <si>
    <t>2.0 LEARNING AND TEACHING ENVIRONMENT</t>
  </si>
  <si>
    <t>4.0 ACADEMIC PARTNERSHIP</t>
  </si>
  <si>
    <t>5.0 INDUSTRAIL PARTNERSHIP</t>
  </si>
  <si>
    <t>6.0 GOVERNANCE AND ADMINISTRATION</t>
  </si>
  <si>
    <t>7.0 CENTRE VISIBILITY</t>
  </si>
  <si>
    <t>Total Funds committed</t>
  </si>
  <si>
    <t>Committed Funds</t>
  </si>
  <si>
    <t>NB:</t>
  </si>
  <si>
    <t>* TOTAL USES OF FUNDS( Funds used + committed funds)</t>
  </si>
  <si>
    <t xml:space="preserve"> COMPLETION OF THE AGREED MILESTONES/TARGETS BEFORE PAYMENTS.</t>
  </si>
  <si>
    <t xml:space="preserve">COMMITTED FUNDS MEANS CONTRACT HAVE BEEN SIGNED AND AWAITING THE </t>
  </si>
  <si>
    <t xml:space="preserve">Expenditure Classificiation </t>
  </si>
  <si>
    <t>Consultant  and Travel Costs</t>
  </si>
  <si>
    <t>Consultant Costs, including project implementation and administration staff</t>
  </si>
  <si>
    <t>Travel, Accommodation,  and Per Diem</t>
  </si>
  <si>
    <t>Travel and Accomodation</t>
  </si>
  <si>
    <t xml:space="preserve">Per Diem </t>
  </si>
  <si>
    <t>i.</t>
  </si>
  <si>
    <t>International travel</t>
  </si>
  <si>
    <t>ii.</t>
  </si>
  <si>
    <t>Domestic travel</t>
  </si>
  <si>
    <t>Total (Travel, Accommodation, and Per Diem)</t>
  </si>
  <si>
    <t>Training and conference fees</t>
  </si>
  <si>
    <t>Goods and equipment</t>
  </si>
  <si>
    <t xml:space="preserve">Learning and Research Equipment </t>
  </si>
  <si>
    <t>Vehicles</t>
  </si>
  <si>
    <t>Other goods incl. reagents</t>
  </si>
  <si>
    <t>Total Goods and Equipment</t>
  </si>
  <si>
    <t>Scholarship Payments</t>
  </si>
  <si>
    <t>ACE Hosted Workshops and Seminars</t>
  </si>
  <si>
    <t>Workshops and Seminars</t>
  </si>
  <si>
    <t>Civil Works</t>
  </si>
  <si>
    <t>Civil works, including rehabilitation and new construction</t>
  </si>
  <si>
    <t>Marketing, Communication, and Recruitment</t>
  </si>
  <si>
    <t>Communication and Marketing, including website</t>
  </si>
  <si>
    <t>General Expenses</t>
  </si>
  <si>
    <t>Operating costs including utilities, banking fees etc.</t>
  </si>
  <si>
    <t xml:space="preserve">Other </t>
  </si>
  <si>
    <t>GRAND TOTAL</t>
  </si>
  <si>
    <t xml:space="preserve"> Regional Capacity Training</t>
  </si>
  <si>
    <t>Learning and Teaching Environment</t>
  </si>
  <si>
    <t>Regional Research Capacity Building</t>
  </si>
  <si>
    <t>Academic Partnership</t>
  </si>
  <si>
    <t>Industrial Partnership</t>
  </si>
  <si>
    <t>Governace and Administration</t>
  </si>
  <si>
    <t>Centre Visibility</t>
  </si>
  <si>
    <t>REGIONAL CENTRE FOR ENERGY AND ENVIRONMENTAL SUSTAINABILITY</t>
  </si>
  <si>
    <t>REGIONAL CENTER FOR ENERGY AND ENVIRONMENTAL SUSTAINABILITY</t>
  </si>
  <si>
    <t>1.0 REGIONAL CAPACITY TRAINING (MSc/PhD</t>
  </si>
  <si>
    <t>3.0 REGIONAL RESEARCH CAPACITY BUILDING</t>
  </si>
  <si>
    <t>Semi-Annual Period ending 30th June 2020</t>
  </si>
  <si>
    <t>Annex to IUFR: Notes on Expenditures</t>
  </si>
  <si>
    <t>AFRICA [FIRST] CENTERS OF EXCELLENCE FOR DEVELOPMENT
 IMPACT PROJECT (P164546)</t>
  </si>
  <si>
    <t>Director</t>
  </si>
  <si>
    <t>Dr. Eric Ofosu Antwi</t>
  </si>
  <si>
    <r>
      <t xml:space="preserve">Stephen Yaw Ntiamoah, </t>
    </r>
    <r>
      <rPr>
        <b/>
        <sz val="10"/>
        <rFont val="Arial"/>
        <family val="2"/>
      </rPr>
      <t>CA, CPFA</t>
    </r>
  </si>
  <si>
    <t>for the semi-annual period ending 31st December 2020</t>
  </si>
  <si>
    <t>The schedule below provide additional details on expenditures summarized in the Sources and Uses of Funds covering the period  January 2021 to 30th June 2021</t>
  </si>
  <si>
    <t>for the semi-annual period ending 30th June 2021</t>
  </si>
  <si>
    <t>for the semi-annual period ending 30th June, 2021</t>
  </si>
  <si>
    <t>Financial Year End (1st Jan.- 30th June 2021)</t>
  </si>
  <si>
    <t>Start of Project to Reporting date (2019- 30th June 2021)</t>
  </si>
  <si>
    <t>Payment of monthly stipends for international students</t>
  </si>
  <si>
    <t>Payment of monthly stipends for Ghanaian students</t>
  </si>
  <si>
    <t>Payment of special allowance to assist a  regional student for a conducive academic work</t>
  </si>
  <si>
    <t>Payment of stipends to local students for the month of February 2021</t>
  </si>
  <si>
    <t>Payment of stipends to international students for the month of February 2022</t>
  </si>
  <si>
    <t>Payment of monthly stipends to local and international students</t>
  </si>
  <si>
    <t>Payment of monthly stipend to local students for the month of April, 2021</t>
  </si>
  <si>
    <t>Payment of monthly stipend to foreign students for the month of April, 2021</t>
  </si>
  <si>
    <t>Refund of Immigration fees paid at the Border</t>
  </si>
  <si>
    <t>Refund of medical bills to RCEES student</t>
  </si>
  <si>
    <t>Payment of monthly stipend to local students for the month of May, 2021</t>
  </si>
  <si>
    <t>Payment of monthly stipend to foreign students for the month of May, 2021</t>
  </si>
  <si>
    <t>Refund of medical bills</t>
  </si>
  <si>
    <t>Payment of monthly stipend to foreign students for the month of June, 2021</t>
  </si>
  <si>
    <t>Payment of monthly stipend to local students for the month of June, 2021</t>
  </si>
  <si>
    <t>Semi-Annual Period ending 30th June 2021</t>
  </si>
  <si>
    <t>Payment for  training materials for thesis supervision</t>
  </si>
  <si>
    <t xml:space="preserve">Payment of tax on the consultants </t>
  </si>
  <si>
    <t>Payment to  consultants for the centre building complex</t>
  </si>
  <si>
    <t>Payment to the contractor  for the centre building complex</t>
  </si>
  <si>
    <t>Payment of first tranche of reseach funds</t>
  </si>
  <si>
    <t>Payment of per diem to Prof Gorden to facilitate thesis supervision seminar for faculty</t>
  </si>
  <si>
    <t>Payment of per diem to Mr. Konney for driving Prof Gorden to Accra for the thesis supervision</t>
  </si>
  <si>
    <t>Payment for snacks and lunch for three(3) days thesis supervision training</t>
  </si>
  <si>
    <t>Payment for services (Accommodation) rended to Prof. Chris Gorden at Eusbett hotel</t>
  </si>
  <si>
    <t>Payment for First Tranche of research funds</t>
  </si>
  <si>
    <t>Payment of tax on services (Accommodation) rended to Prof. Chris Gorden at Eusbett hotel</t>
  </si>
  <si>
    <t>Payment of tax on snacks and lunch for three(3) days thesis supervision training</t>
  </si>
  <si>
    <t>Accountable Imprest for first tranche of research funds</t>
  </si>
  <si>
    <t>Payment of first tranche of Research Funds</t>
  </si>
  <si>
    <t>Payment of accountable Imprest for second tranche of research funds</t>
  </si>
  <si>
    <t>Payment for first tranche of Research Funds</t>
  </si>
  <si>
    <t>Payment for first tranche of research work</t>
  </si>
  <si>
    <t>Payment of second tranche of research wok</t>
  </si>
  <si>
    <t>Payment of first tranch of research work</t>
  </si>
  <si>
    <t>Payment of second tranch of research work</t>
  </si>
  <si>
    <t>Payment of first and second tranch of research work</t>
  </si>
  <si>
    <t>Payment of second tranche for research work</t>
  </si>
  <si>
    <t>Payment of Student Internship Support</t>
  </si>
  <si>
    <t xml:space="preserve">Payment of Imprest </t>
  </si>
  <si>
    <t>Payment of per diem to Prof. Asare-Bediako for attending Afican Country Centre of Excellence Bootcamp</t>
  </si>
  <si>
    <t>Payment of salaries to RCEES staff for the month of January 2021</t>
  </si>
  <si>
    <t>Payment of tax on salaries to RCEES staff for the month of January 2021</t>
  </si>
  <si>
    <t>Bank charges</t>
  </si>
  <si>
    <t>Per diem to RCEES's driver for driving Centre Director for a meeting at Accra</t>
  </si>
  <si>
    <t>Re-imbursement of Imprest to RCEES office</t>
  </si>
  <si>
    <t>Payment of salaries to RCEES staff</t>
  </si>
  <si>
    <t>Payment of tax on salaries to RCEES staff</t>
  </si>
  <si>
    <t>Per diem to kumasi for vehicle servicing</t>
  </si>
  <si>
    <t>Payment of per diem for  Students field trip</t>
  </si>
  <si>
    <t>Re-imbursement of Imprest</t>
  </si>
  <si>
    <t>Payment of accountable imprest for fuel for centre vehicle servicing</t>
  </si>
  <si>
    <t>Re-imbursement fo Imprest</t>
  </si>
  <si>
    <t>Payment of salaries to RCEES staff for the month of April 2021</t>
  </si>
  <si>
    <t>Payment of tax on salaries to RCEES staff for the month of April 2021</t>
  </si>
  <si>
    <t>Payment of per diem for Capacity Building Workshop in Accra</t>
  </si>
  <si>
    <t>Payment of per diem for Capacity Building workshop in Accra</t>
  </si>
  <si>
    <t>Payment of per diem for meeting with investors about RCEES, Energy Lab and the RCEES Office complex contractor</t>
  </si>
  <si>
    <t>Payment of per diem to Sarkodie for driving Director to and from Accra for stakeholders meeting</t>
  </si>
  <si>
    <t>Payment to Higher grounds services for the provision of snacks during the GTEC/AAU mision visit</t>
  </si>
  <si>
    <t>Payment for servicing the centre 's vehicle at Kumasi</t>
  </si>
  <si>
    <t>Refund of fuel purchased for official duties</t>
  </si>
  <si>
    <t>Payment of tax on snacks provided during the GTEC/AAU mision visit</t>
  </si>
  <si>
    <t>Fuel for centre director's stakeholders meeting</t>
  </si>
  <si>
    <t>Per diem to the Centre's director for a stakeholder's meeting</t>
  </si>
  <si>
    <t>Accommodation and travel cost for Capacity Buiding Workshop organised by GTEC</t>
  </si>
  <si>
    <t xml:space="preserve">Fuel and other Expenses for stakeholders Meeting </t>
  </si>
  <si>
    <t>Payment of salaries to RCEES staffs fo the month of May, 2021</t>
  </si>
  <si>
    <t>Payment of salaries to  RCEES staffs fo the month of May, 2021</t>
  </si>
  <si>
    <t>Payment of tax on salaries of RCEES staffs fo the month of May, 2021</t>
  </si>
  <si>
    <t xml:space="preserve"> Payment for Fuel </t>
  </si>
  <si>
    <t>Payment for Scopus subscription</t>
  </si>
  <si>
    <t>Charges on transfer</t>
  </si>
  <si>
    <t>Accountant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</si>
</sst>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-* #,##0.00\ &quot;€&quot;_-;\-* #,##0.00\ &quot;€&quot;_-;_-* &quot;-&quot;??\ &quot;€&quot;_-;_-@_-"/>
    <numFmt numFmtId="167" formatCode="[$-40C]mmm\-yy;@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rgb="FF006100"/>
      <name val="Calibri"/>
      <family val="2"/>
      <scheme val="minor"/>
    </font>
    <font>
      <sz val="11"/>
      <color rgb="FF3F3F3F"/>
      <name val="Calibri"/>
      <family val="2"/>
      <scheme val="minor"/>
    </font>
    <font>
      <sz val="11"/>
      <color rgb="FF7F7F7F"/>
      <name val="Calibri"/>
      <family val="2"/>
      <scheme val="minor"/>
    </font>
    <font>
      <sz val="11"/>
      <color theme="3"/>
      <name val="Cambria"/>
      <family val="2"/>
      <scheme val="major"/>
    </font>
    <font>
      <b/>
      <sz val="18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9"/>
      <name val="Arial"/>
      <family val="2"/>
    </font>
    <font>
      <b/>
      <i/>
      <sz val="9"/>
      <name val="Arial"/>
      <family val="2"/>
    </font>
    <font>
      <sz val="11"/>
      <name val="Arial Narrow"/>
      <family val="2"/>
    </font>
    <font>
      <sz val="11"/>
      <name val="Arial"/>
      <family val="2"/>
    </font>
    <font>
      <b/>
      <sz val="12"/>
      <name val="Times New Roman"/>
      <family val="1"/>
    </font>
    <font>
      <sz val="11"/>
      <color theme="1"/>
      <name val="Arial Narrow"/>
      <family val="2"/>
    </font>
  </fonts>
  <fills count="37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9" fillId="0" borderId="0" applyNumberFormat="0" applyFill="0" applyBorder="0" applyAlignment="0" applyProtection="0"/>
    <xf numFmtId="0" fontId="14" fillId="0" borderId="32" applyNumberFormat="0" applyFill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8" fillId="10" borderId="34" applyNumberFormat="0" applyFont="0" applyAlignment="0" applyProtection="0"/>
    <xf numFmtId="0" fontId="17" fillId="10" borderId="34" applyNumberFormat="0" applyFont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167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3" fillId="0" borderId="0"/>
    <xf numFmtId="167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2" fillId="7" borderId="0" applyNumberFormat="0" applyBorder="0" applyAlignment="0" applyProtection="0"/>
    <xf numFmtId="0" fontId="23" fillId="8" borderId="31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8" applyNumberFormat="0" applyFill="0" applyAlignment="0" applyProtection="0"/>
    <xf numFmtId="0" fontId="12" fillId="0" borderId="29" applyNumberFormat="0" applyFill="0" applyAlignment="0" applyProtection="0"/>
    <xf numFmtId="0" fontId="13" fillId="0" borderId="30" applyNumberFormat="0" applyFill="0" applyAlignment="0" applyProtection="0"/>
    <xf numFmtId="0" fontId="13" fillId="0" borderId="0" applyNumberFormat="0" applyFill="0" applyBorder="0" applyAlignment="0" applyProtection="0"/>
    <xf numFmtId="0" fontId="27" fillId="0" borderId="35" applyNumberFormat="0" applyFill="0" applyAlignment="0" applyProtection="0"/>
    <xf numFmtId="0" fontId="16" fillId="9" borderId="33" applyNumberFormat="0" applyAlignment="0" applyProtection="0"/>
    <xf numFmtId="165" fontId="2" fillId="0" borderId="0" applyFont="0" applyFill="0" applyBorder="0" applyAlignment="0" applyProtection="0"/>
    <xf numFmtId="0" fontId="28" fillId="0" borderId="0"/>
    <xf numFmtId="165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0" fillId="2" borderId="11" xfId="0" applyFill="1" applyBorder="1"/>
    <xf numFmtId="0" fontId="0" fillId="2" borderId="5" xfId="0" applyFill="1" applyBorder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14" xfId="0" applyFont="1" applyBorder="1"/>
    <xf numFmtId="0" fontId="4" fillId="2" borderId="11" xfId="0" applyFont="1" applyFill="1" applyBorder="1"/>
    <xf numFmtId="0" fontId="4" fillId="0" borderId="17" xfId="0" applyFont="1" applyBorder="1"/>
    <xf numFmtId="0" fontId="8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18" xfId="0" applyFont="1" applyBorder="1" applyAlignment="1">
      <alignment horizontal="center"/>
    </xf>
    <xf numFmtId="43" fontId="0" fillId="0" borderId="8" xfId="0" applyNumberFormat="1" applyBorder="1"/>
    <xf numFmtId="43" fontId="0" fillId="0" borderId="6" xfId="0" applyNumberFormat="1" applyBorder="1"/>
    <xf numFmtId="0" fontId="4" fillId="0" borderId="18" xfId="0" applyFont="1" applyBorder="1"/>
    <xf numFmtId="0" fontId="4" fillId="0" borderId="22" xfId="0" applyFont="1" applyBorder="1" applyAlignment="1">
      <alignment horizontal="left"/>
    </xf>
    <xf numFmtId="43" fontId="4" fillId="0" borderId="19" xfId="0" applyNumberFormat="1" applyFont="1" applyBorder="1"/>
    <xf numFmtId="43" fontId="0" fillId="0" borderId="7" xfId="0" applyNumberFormat="1" applyBorder="1"/>
    <xf numFmtId="43" fontId="0" fillId="0" borderId="12" xfId="0" applyNumberFormat="1" applyBorder="1" applyAlignment="1">
      <alignment horizontal="right"/>
    </xf>
    <xf numFmtId="43" fontId="0" fillId="0" borderId="12" xfId="0" applyNumberFormat="1" applyBorder="1"/>
    <xf numFmtId="43" fontId="0" fillId="2" borderId="3" xfId="0" applyNumberFormat="1" applyFill="1" applyBorder="1"/>
    <xf numFmtId="43" fontId="0" fillId="0" borderId="6" xfId="0" applyNumberFormat="1" applyBorder="1" applyAlignment="1">
      <alignment horizontal="right"/>
    </xf>
    <xf numFmtId="43" fontId="4" fillId="0" borderId="12" xfId="1" applyNumberFormat="1" applyFont="1" applyBorder="1" applyAlignment="1">
      <alignment horizontal="right"/>
    </xf>
    <xf numFmtId="43" fontId="4" fillId="0" borderId="24" xfId="1" applyNumberFormat="1" applyFont="1" applyBorder="1"/>
    <xf numFmtId="43" fontId="4" fillId="0" borderId="12" xfId="1" applyNumberFormat="1" applyFont="1" applyBorder="1"/>
    <xf numFmtId="43" fontId="4" fillId="2" borderId="11" xfId="0" applyNumberFormat="1" applyFont="1" applyFill="1" applyBorder="1"/>
    <xf numFmtId="43" fontId="4" fillId="0" borderId="6" xfId="1" applyNumberFormat="1" applyFont="1" applyBorder="1"/>
    <xf numFmtId="0" fontId="3" fillId="0" borderId="2" xfId="0" applyFont="1" applyBorder="1"/>
    <xf numFmtId="43" fontId="4" fillId="0" borderId="12" xfId="0" applyNumberFormat="1" applyFont="1" applyBorder="1"/>
    <xf numFmtId="0" fontId="4" fillId="0" borderId="15" xfId="0" applyFont="1" applyBorder="1"/>
    <xf numFmtId="0" fontId="4" fillId="0" borderId="13" xfId="0" applyFont="1" applyBorder="1"/>
    <xf numFmtId="0" fontId="3" fillId="0" borderId="6" xfId="0" applyFont="1" applyBorder="1"/>
    <xf numFmtId="43" fontId="4" fillId="0" borderId="23" xfId="0" applyNumberFormat="1" applyFont="1" applyBorder="1"/>
    <xf numFmtId="0" fontId="4" fillId="0" borderId="20" xfId="0" applyFont="1" applyBorder="1"/>
    <xf numFmtId="0" fontId="4" fillId="0" borderId="21" xfId="0" applyFont="1" applyBorder="1"/>
    <xf numFmtId="0" fontId="3" fillId="0" borderId="2" xfId="0" applyFont="1" applyBorder="1" applyAlignment="1">
      <alignment horizontal="center" wrapText="1"/>
    </xf>
    <xf numFmtId="3" fontId="3" fillId="0" borderId="6" xfId="0" applyNumberFormat="1" applyFont="1" applyBorder="1"/>
    <xf numFmtId="0" fontId="3" fillId="0" borderId="0" xfId="0" applyFont="1" applyBorder="1"/>
    <xf numFmtId="43" fontId="4" fillId="0" borderId="6" xfId="0" applyNumberFormat="1" applyFont="1" applyBorder="1"/>
    <xf numFmtId="3" fontId="3" fillId="0" borderId="6" xfId="0" applyNumberFormat="1" applyFont="1" applyFill="1" applyBorder="1"/>
    <xf numFmtId="43" fontId="0" fillId="0" borderId="7" xfId="0" applyNumberFormat="1" applyBorder="1" applyAlignment="1">
      <alignment horizontal="right"/>
    </xf>
    <xf numFmtId="0" fontId="4" fillId="0" borderId="6" xfId="0" applyFont="1" applyBorder="1"/>
    <xf numFmtId="43" fontId="3" fillId="0" borderId="6" xfId="1" applyNumberFormat="1" applyFont="1" applyBorder="1"/>
    <xf numFmtId="0" fontId="4" fillId="0" borderId="26" xfId="0" applyFont="1" applyBorder="1"/>
    <xf numFmtId="43" fontId="4" fillId="0" borderId="27" xfId="1" applyNumberFormat="1" applyFont="1" applyBorder="1"/>
    <xf numFmtId="43" fontId="3" fillId="0" borderId="6" xfId="0" applyNumberFormat="1" applyFont="1" applyBorder="1"/>
    <xf numFmtId="43" fontId="4" fillId="0" borderId="19" xfId="1" applyNumberFormat="1" applyFont="1" applyBorder="1"/>
    <xf numFmtId="0" fontId="4" fillId="0" borderId="6" xfId="0" applyFont="1" applyFill="1" applyBorder="1"/>
    <xf numFmtId="43" fontId="0" fillId="3" borderId="6" xfId="0" applyNumberFormat="1" applyFill="1" applyBorder="1"/>
    <xf numFmtId="43" fontId="4" fillId="0" borderId="19" xfId="1" applyNumberFormat="1" applyFont="1" applyBorder="1" applyAlignment="1">
      <alignment horizontal="right"/>
    </xf>
    <xf numFmtId="43" fontId="4" fillId="0" borderId="6" xfId="1" applyNumberFormat="1" applyFont="1" applyBorder="1" applyAlignment="1">
      <alignment horizontal="right"/>
    </xf>
    <xf numFmtId="0" fontId="0" fillId="5" borderId="6" xfId="0" applyFill="1" applyBorder="1"/>
    <xf numFmtId="43" fontId="0" fillId="5" borderId="6" xfId="0" applyNumberFormat="1" applyFill="1" applyBorder="1"/>
    <xf numFmtId="43" fontId="0" fillId="5" borderId="0" xfId="0" applyNumberFormat="1" applyFill="1" applyBorder="1"/>
    <xf numFmtId="0" fontId="6" fillId="3" borderId="0" xfId="0" applyFont="1" applyFill="1"/>
    <xf numFmtId="0" fontId="0" fillId="3" borderId="0" xfId="0" applyFill="1"/>
    <xf numFmtId="0" fontId="6" fillId="3" borderId="16" xfId="0" applyFont="1" applyFill="1" applyBorder="1"/>
    <xf numFmtId="0" fontId="0" fillId="3" borderId="16" xfId="0" applyFill="1" applyBorder="1"/>
    <xf numFmtId="0" fontId="3" fillId="3" borderId="0" xfId="0" applyFont="1" applyFill="1"/>
    <xf numFmtId="0" fontId="4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3" borderId="11" xfId="0" applyFill="1" applyBorder="1"/>
    <xf numFmtId="0" fontId="0" fillId="3" borderId="4" xfId="0" applyFill="1" applyBorder="1"/>
    <xf numFmtId="0" fontId="0" fillId="3" borderId="5" xfId="0" applyFill="1" applyBorder="1"/>
    <xf numFmtId="0" fontId="4" fillId="3" borderId="6" xfId="0" applyFont="1" applyFill="1" applyBorder="1" applyAlignment="1">
      <alignment horizontal="left"/>
    </xf>
    <xf numFmtId="0" fontId="0" fillId="3" borderId="6" xfId="0" applyFill="1" applyBorder="1"/>
    <xf numFmtId="0" fontId="3" fillId="3" borderId="6" xfId="0" applyFont="1" applyFill="1" applyBorder="1"/>
    <xf numFmtId="43" fontId="0" fillId="3" borderId="6" xfId="1" applyNumberFormat="1" applyFont="1" applyFill="1" applyBorder="1"/>
    <xf numFmtId="0" fontId="4" fillId="3" borderId="6" xfId="0" applyFont="1" applyFill="1" applyBorder="1"/>
    <xf numFmtId="43" fontId="4" fillId="3" borderId="6" xfId="1" applyNumberFormat="1" applyFont="1" applyFill="1" applyBorder="1" applyAlignment="1">
      <alignment horizontal="right"/>
    </xf>
    <xf numFmtId="43" fontId="4" fillId="3" borderId="6" xfId="0" applyNumberFormat="1" applyFont="1" applyFill="1" applyBorder="1"/>
    <xf numFmtId="43" fontId="4" fillId="3" borderId="6" xfId="1" applyNumberFormat="1" applyFont="1" applyFill="1" applyBorder="1"/>
    <xf numFmtId="43" fontId="3" fillId="3" borderId="6" xfId="1" applyNumberFormat="1" applyFont="1" applyFill="1" applyBorder="1"/>
    <xf numFmtId="0" fontId="0" fillId="0" borderId="18" xfId="0" applyFill="1" applyBorder="1"/>
    <xf numFmtId="0" fontId="3" fillId="0" borderId="18" xfId="0" applyFont="1" applyBorder="1"/>
    <xf numFmtId="0" fontId="3" fillId="0" borderId="8" xfId="0" applyFont="1" applyFill="1" applyBorder="1"/>
    <xf numFmtId="0" fontId="4" fillId="6" borderId="6" xfId="0" applyFont="1" applyFill="1" applyBorder="1"/>
    <xf numFmtId="0" fontId="0" fillId="6" borderId="6" xfId="0" applyFill="1" applyBorder="1"/>
    <xf numFmtId="0" fontId="4" fillId="6" borderId="7" xfId="0" applyFont="1" applyFill="1" applyBorder="1"/>
    <xf numFmtId="43" fontId="4" fillId="6" borderId="6" xfId="0" applyNumberFormat="1" applyFont="1" applyFill="1" applyBorder="1"/>
    <xf numFmtId="0" fontId="10" fillId="6" borderId="6" xfId="0" applyFont="1" applyFill="1" applyBorder="1"/>
    <xf numFmtId="43" fontId="11" fillId="6" borderId="6" xfId="0" applyNumberFormat="1" applyFont="1" applyFill="1" applyBorder="1"/>
    <xf numFmtId="165" fontId="0" fillId="0" borderId="0" xfId="0" applyNumberFormat="1"/>
    <xf numFmtId="0" fontId="30" fillId="0" borderId="0" xfId="0" applyFont="1"/>
    <xf numFmtId="0" fontId="31" fillId="0" borderId="0" xfId="0" applyFont="1"/>
    <xf numFmtId="3" fontId="31" fillId="0" borderId="0" xfId="0" applyNumberFormat="1" applyFont="1" applyBorder="1"/>
    <xf numFmtId="0" fontId="30" fillId="0" borderId="0" xfId="0" applyFont="1" applyBorder="1"/>
    <xf numFmtId="3" fontId="32" fillId="36" borderId="0" xfId="0" applyNumberFormat="1" applyFont="1" applyFill="1" applyAlignment="1">
      <alignment horizontal="left" vertical="top" wrapText="1"/>
    </xf>
    <xf numFmtId="3" fontId="31" fillId="0" borderId="0" xfId="0" applyNumberFormat="1" applyFont="1"/>
    <xf numFmtId="0" fontId="33" fillId="0" borderId="0" xfId="0" applyFont="1"/>
    <xf numFmtId="3" fontId="31" fillId="0" borderId="0" xfId="0" applyNumberFormat="1" applyFont="1" applyAlignment="1">
      <alignment horizontal="right"/>
    </xf>
    <xf numFmtId="0" fontId="31" fillId="0" borderId="0" xfId="0" applyFont="1" applyFill="1"/>
    <xf numFmtId="3" fontId="31" fillId="0" borderId="0" xfId="0" applyNumberFormat="1" applyFont="1" applyFill="1" applyBorder="1"/>
    <xf numFmtId="43" fontId="30" fillId="0" borderId="36" xfId="1" applyFont="1" applyBorder="1"/>
    <xf numFmtId="43" fontId="31" fillId="0" borderId="0" xfId="1" applyFont="1" applyAlignment="1">
      <alignment horizontal="right"/>
    </xf>
    <xf numFmtId="43" fontId="31" fillId="0" borderId="36" xfId="1" applyFont="1" applyBorder="1" applyAlignment="1">
      <alignment horizontal="right"/>
    </xf>
    <xf numFmtId="43" fontId="31" fillId="0" borderId="36" xfId="1" applyFont="1" applyBorder="1"/>
    <xf numFmtId="43" fontId="31" fillId="0" borderId="0" xfId="1" applyFont="1"/>
    <xf numFmtId="43" fontId="31" fillId="0" borderId="0" xfId="1" applyFont="1" applyBorder="1"/>
    <xf numFmtId="43" fontId="30" fillId="0" borderId="0" xfId="1" applyFont="1"/>
    <xf numFmtId="43" fontId="30" fillId="0" borderId="0" xfId="1" applyFont="1" applyBorder="1"/>
    <xf numFmtId="43" fontId="30" fillId="0" borderId="0" xfId="1" applyFont="1" applyAlignment="1">
      <alignment horizontal="right"/>
    </xf>
    <xf numFmtId="43" fontId="31" fillId="0" borderId="36" xfId="1" applyFont="1" applyFill="1" applyBorder="1"/>
    <xf numFmtId="165" fontId="0" fillId="0" borderId="6" xfId="0" applyNumberFormat="1" applyBorder="1"/>
    <xf numFmtId="43" fontId="0" fillId="2" borderId="0" xfId="0" applyNumberFormat="1" applyFill="1" applyBorder="1"/>
    <xf numFmtId="43" fontId="0" fillId="0" borderId="25" xfId="0" applyNumberFormat="1" applyBorder="1"/>
    <xf numFmtId="43" fontId="4" fillId="0" borderId="15" xfId="0" applyNumberFormat="1" applyFont="1" applyBorder="1"/>
    <xf numFmtId="0" fontId="0" fillId="2" borderId="4" xfId="0" applyFill="1" applyBorder="1"/>
    <xf numFmtId="43" fontId="4" fillId="6" borderId="25" xfId="0" applyNumberFormat="1" applyFont="1" applyFill="1" applyBorder="1"/>
    <xf numFmtId="0" fontId="0" fillId="0" borderId="7" xfId="0" applyBorder="1"/>
    <xf numFmtId="43" fontId="0" fillId="0" borderId="15" xfId="0" applyNumberFormat="1" applyBorder="1"/>
    <xf numFmtId="165" fontId="0" fillId="0" borderId="22" xfId="0" applyNumberFormat="1" applyBorder="1"/>
    <xf numFmtId="165" fontId="4" fillId="0" borderId="22" xfId="0" applyNumberFormat="1" applyFont="1" applyBorder="1"/>
    <xf numFmtId="43" fontId="4" fillId="0" borderId="7" xfId="0" applyNumberFormat="1" applyFont="1" applyBorder="1"/>
    <xf numFmtId="43" fontId="4" fillId="0" borderId="22" xfId="0" applyNumberFormat="1" applyFont="1" applyBorder="1"/>
    <xf numFmtId="165" fontId="4" fillId="0" borderId="7" xfId="0" applyNumberFormat="1" applyFont="1" applyBorder="1"/>
    <xf numFmtId="0" fontId="34" fillId="4" borderId="8" xfId="0" applyFont="1" applyFill="1" applyBorder="1"/>
    <xf numFmtId="43" fontId="35" fillId="4" borderId="6" xfId="0" applyNumberFormat="1" applyFont="1" applyFill="1" applyBorder="1"/>
    <xf numFmtId="165" fontId="35" fillId="4" borderId="6" xfId="0" applyNumberFormat="1" applyFont="1" applyFill="1" applyBorder="1"/>
    <xf numFmtId="0" fontId="3" fillId="0" borderId="18" xfId="0" applyFont="1" applyBorder="1" applyAlignment="1">
      <alignment horizontal="center" wrapText="1"/>
    </xf>
    <xf numFmtId="43" fontId="30" fillId="0" borderId="0" xfId="0" applyNumberFormat="1" applyFont="1"/>
    <xf numFmtId="0" fontId="4" fillId="0" borderId="2" xfId="0" applyFont="1" applyBorder="1" applyAlignment="1">
      <alignment horizontal="center"/>
    </xf>
    <xf numFmtId="43" fontId="36" fillId="0" borderId="6" xfId="1" applyFont="1" applyBorder="1" applyAlignme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8" xfId="0" applyFont="1" applyBorder="1"/>
    <xf numFmtId="0" fontId="3" fillId="0" borderId="25" xfId="0" applyFont="1" applyBorder="1"/>
    <xf numFmtId="3" fontId="3" fillId="0" borderId="0" xfId="0" applyNumberFormat="1" applyFont="1" applyBorder="1"/>
    <xf numFmtId="43" fontId="3" fillId="0" borderId="18" xfId="0" applyNumberFormat="1" applyFont="1" applyBorder="1"/>
    <xf numFmtId="0" fontId="3" fillId="0" borderId="19" xfId="0" applyFont="1" applyBorder="1"/>
    <xf numFmtId="0" fontId="3" fillId="2" borderId="11" xfId="0" applyFont="1" applyFill="1" applyBorder="1"/>
    <xf numFmtId="43" fontId="3" fillId="2" borderId="3" xfId="0" applyNumberFormat="1" applyFont="1" applyFill="1" applyBorder="1"/>
    <xf numFmtId="0" fontId="3" fillId="2" borderId="3" xfId="0" applyFont="1" applyFill="1" applyBorder="1"/>
    <xf numFmtId="43" fontId="3" fillId="0" borderId="7" xfId="0" applyNumberFormat="1" applyFont="1" applyBorder="1"/>
    <xf numFmtId="43" fontId="3" fillId="2" borderId="6" xfId="0" applyNumberFormat="1" applyFont="1" applyFill="1" applyBorder="1"/>
    <xf numFmtId="0" fontId="3" fillId="2" borderId="6" xfId="0" applyFont="1" applyFill="1" applyBorder="1"/>
    <xf numFmtId="43" fontId="3" fillId="0" borderId="18" xfId="0" applyNumberFormat="1" applyFont="1" applyFill="1" applyBorder="1"/>
    <xf numFmtId="43" fontId="3" fillId="0" borderId="3" xfId="0" applyNumberFormat="1" applyFont="1" applyFill="1" applyBorder="1"/>
    <xf numFmtId="43" fontId="3" fillId="0" borderId="6" xfId="0" applyNumberFormat="1" applyFont="1" applyFill="1" applyBorder="1"/>
    <xf numFmtId="0" fontId="3" fillId="0" borderId="6" xfId="0" applyFont="1" applyFill="1" applyBorder="1"/>
    <xf numFmtId="43" fontId="3" fillId="0" borderId="6" xfId="1" applyNumberFormat="1" applyFont="1" applyFill="1" applyBorder="1"/>
    <xf numFmtId="43" fontId="3" fillId="0" borderId="12" xfId="0" applyNumberFormat="1" applyFont="1" applyBorder="1"/>
    <xf numFmtId="0" fontId="3" fillId="0" borderId="15" xfId="0" applyFont="1" applyBorder="1"/>
    <xf numFmtId="0" fontId="3" fillId="0" borderId="13" xfId="0" applyFont="1" applyBorder="1"/>
    <xf numFmtId="0" fontId="37" fillId="0" borderId="6" xfId="0" applyFont="1" applyFill="1" applyBorder="1" applyAlignment="1"/>
    <xf numFmtId="43" fontId="37" fillId="0" borderId="6" xfId="1" applyFont="1" applyBorder="1" applyAlignment="1"/>
    <xf numFmtId="43" fontId="37" fillId="0" borderId="6" xfId="1" applyFont="1" applyFill="1" applyBorder="1" applyAlignment="1"/>
    <xf numFmtId="43" fontId="3" fillId="0" borderId="19" xfId="0" applyNumberFormat="1" applyFont="1" applyBorder="1"/>
    <xf numFmtId="0" fontId="3" fillId="0" borderId="21" xfId="0" applyFont="1" applyBorder="1"/>
    <xf numFmtId="0" fontId="3" fillId="0" borderId="12" xfId="0" applyFont="1" applyBorder="1"/>
    <xf numFmtId="43" fontId="4" fillId="0" borderId="6" xfId="1" applyNumberFormat="1" applyFont="1" applyFill="1" applyBorder="1"/>
    <xf numFmtId="0" fontId="3" fillId="0" borderId="0" xfId="0" applyFont="1" applyFill="1"/>
    <xf numFmtId="43" fontId="31" fillId="0" borderId="0" xfId="0" applyNumberFormat="1" applyFont="1"/>
    <xf numFmtId="43" fontId="39" fillId="0" borderId="6" xfId="1" applyFont="1" applyFill="1" applyBorder="1" applyAlignment="1">
      <alignment horizontal="left"/>
    </xf>
    <xf numFmtId="43" fontId="36" fillId="0" borderId="6" xfId="1" applyFont="1" applyFill="1" applyBorder="1" applyAlignment="1">
      <alignment horizontal="left"/>
    </xf>
    <xf numFmtId="43" fontId="4" fillId="0" borderId="7" xfId="1" applyNumberFormat="1" applyFont="1" applyBorder="1"/>
    <xf numFmtId="43" fontId="39" fillId="0" borderId="6" xfId="0" applyNumberFormat="1" applyFont="1" applyFill="1" applyBorder="1"/>
    <xf numFmtId="43" fontId="3" fillId="0" borderId="37" xfId="0" applyNumberFormat="1" applyFont="1" applyBorder="1"/>
    <xf numFmtId="0" fontId="36" fillId="0" borderId="0" xfId="0" applyFont="1" applyFill="1" applyAlignment="1"/>
    <xf numFmtId="43" fontId="3" fillId="0" borderId="6" xfId="1" applyFont="1" applyFill="1" applyBorder="1"/>
    <xf numFmtId="43" fontId="36" fillId="0" borderId="6" xfId="0" applyNumberFormat="1" applyFont="1" applyFill="1" applyBorder="1"/>
    <xf numFmtId="43" fontId="36" fillId="0" borderId="0" xfId="1" applyFont="1" applyAlignment="1"/>
    <xf numFmtId="43" fontId="36" fillId="0" borderId="0" xfId="1" applyFont="1" applyFill="1" applyAlignment="1"/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8" fillId="0" borderId="0" xfId="0" applyFont="1" applyBorder="1" applyAlignment="1">
      <alignment horizontal="center"/>
    </xf>
    <xf numFmtId="0" fontId="38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31" fillId="36" borderId="0" xfId="0" applyFont="1" applyFill="1" applyAlignment="1">
      <alignment horizontal="left"/>
    </xf>
    <xf numFmtId="0" fontId="31" fillId="36" borderId="0" xfId="0" applyFont="1" applyFill="1" applyAlignment="1">
      <alignment horizontal="left" vertical="top"/>
    </xf>
    <xf numFmtId="0" fontId="29" fillId="35" borderId="0" xfId="0" applyFont="1" applyFill="1" applyAlignment="1">
      <alignment horizontal="center"/>
    </xf>
    <xf numFmtId="0" fontId="31" fillId="0" borderId="0" xfId="0" applyFont="1" applyAlignment="1">
      <alignment horizontal="left" wrapText="1"/>
    </xf>
  </cellXfs>
  <cellStyles count="134">
    <cellStyle name="20 % - Accent1 2" xfId="6"/>
    <cellStyle name="20 % - Accent2 2" xfId="7"/>
    <cellStyle name="20 % - Accent3 2" xfId="8"/>
    <cellStyle name="20 % - Accent4 2" xfId="9"/>
    <cellStyle name="20 % - Accent5 2" xfId="10"/>
    <cellStyle name="20 % - Accent6 2" xfId="11"/>
    <cellStyle name="40 % - Accent1 2" xfId="12"/>
    <cellStyle name="40 % - Accent2 2" xfId="13"/>
    <cellStyle name="40 % - Accent3 2" xfId="14"/>
    <cellStyle name="40 % - Accent4 2" xfId="15"/>
    <cellStyle name="40 % - Accent5 2" xfId="16"/>
    <cellStyle name="40 % - Accent6 2" xfId="17"/>
    <cellStyle name="60 % - Accent1 2" xfId="18"/>
    <cellStyle name="60 % - Accent2 2" xfId="19"/>
    <cellStyle name="60 % - Accent3 2" xfId="20"/>
    <cellStyle name="60 % - Accent4 2" xfId="21"/>
    <cellStyle name="60 % - Accent5 2" xfId="22"/>
    <cellStyle name="60 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Avertissement 2" xfId="30"/>
    <cellStyle name="Cellule liée 2" xfId="31"/>
    <cellStyle name="Comma" xfId="1" builtinId="3"/>
    <cellStyle name="Comma 2" xfId="128"/>
    <cellStyle name="Comma 3" xfId="130"/>
    <cellStyle name="Comma 4" xfId="133"/>
    <cellStyle name="Commentaire 2" xfId="32"/>
    <cellStyle name="Commentaire 3" xfId="33"/>
    <cellStyle name="Commentaire 4" xfId="34"/>
    <cellStyle name="Commentaire 5" xfId="35"/>
    <cellStyle name="Commentaire 6" xfId="36"/>
    <cellStyle name="Currency 2" xfId="3"/>
    <cellStyle name="Currency 3" xfId="131"/>
    <cellStyle name="Euro" xfId="37"/>
    <cellStyle name="Euro 10" xfId="38"/>
    <cellStyle name="Euro 11" xfId="39"/>
    <cellStyle name="Euro 12" xfId="40"/>
    <cellStyle name="Euro 13" xfId="41"/>
    <cellStyle name="Euro 13 2" xfId="42"/>
    <cellStyle name="Euro 14" xfId="43"/>
    <cellStyle name="Euro 15" xfId="44"/>
    <cellStyle name="Euro 16" xfId="45"/>
    <cellStyle name="Euro 17" xfId="46"/>
    <cellStyle name="Euro 2" xfId="47"/>
    <cellStyle name="Euro 2 2" xfId="48"/>
    <cellStyle name="Euro 3" xfId="49"/>
    <cellStyle name="Euro 3 2" xfId="50"/>
    <cellStyle name="Euro 4" xfId="51"/>
    <cellStyle name="Euro 4 2" xfId="52"/>
    <cellStyle name="Euro 5" xfId="53"/>
    <cellStyle name="Euro 6" xfId="54"/>
    <cellStyle name="Euro 6 2" xfId="55"/>
    <cellStyle name="Euro 7" xfId="56"/>
    <cellStyle name="Euro 8" xfId="57"/>
    <cellStyle name="Euro 9" xfId="58"/>
    <cellStyle name="Lien hypertexte 2" xfId="59"/>
    <cellStyle name="Lien hypertexte 2 2" xfId="60"/>
    <cellStyle name="Lien hypertexte 2 3 2" xfId="61"/>
    <cellStyle name="Lien hypertexte 3" xfId="62"/>
    <cellStyle name="Normal" xfId="0" builtinId="0"/>
    <cellStyle name="Normal 10" xfId="63"/>
    <cellStyle name="Normal 11" xfId="129"/>
    <cellStyle name="Normal 11 2" xfId="64"/>
    <cellStyle name="Normal 12" xfId="65"/>
    <cellStyle name="Normal 13" xfId="132"/>
    <cellStyle name="Normal 14" xfId="66"/>
    <cellStyle name="Normal 14 2" xfId="67"/>
    <cellStyle name="Normal 15" xfId="68"/>
    <cellStyle name="Normal 16" xfId="69"/>
    <cellStyle name="Normal 16 2" xfId="70"/>
    <cellStyle name="Normal 19" xfId="71"/>
    <cellStyle name="Normal 2" xfId="2"/>
    <cellStyle name="Normal 2 10" xfId="72"/>
    <cellStyle name="Normal 2 2" xfId="73"/>
    <cellStyle name="Normal 2 3" xfId="74"/>
    <cellStyle name="Normal 2 4" xfId="75"/>
    <cellStyle name="Normal 2 5" xfId="76"/>
    <cellStyle name="Normal 2 6" xfId="77"/>
    <cellStyle name="Normal 2 7" xfId="78"/>
    <cellStyle name="Normal 2 8" xfId="79"/>
    <cellStyle name="Normal 2 9" xfId="80"/>
    <cellStyle name="Normal 3" xfId="81"/>
    <cellStyle name="Normal 3 2" xfId="82"/>
    <cellStyle name="Normal 3 3" xfId="83"/>
    <cellStyle name="Normal 3 4" xfId="84"/>
    <cellStyle name="Normal 3 5" xfId="85"/>
    <cellStyle name="Normal 3 6" xfId="86"/>
    <cellStyle name="Normal 3 7" xfId="87"/>
    <cellStyle name="Normal 3 8" xfId="88"/>
    <cellStyle name="Normal 32" xfId="89"/>
    <cellStyle name="Normal 4" xfId="90"/>
    <cellStyle name="Normal 4 2" xfId="91"/>
    <cellStyle name="Normal 4 2 2" xfId="92"/>
    <cellStyle name="Normal 4 3" xfId="93"/>
    <cellStyle name="Normal 4 4" xfId="94"/>
    <cellStyle name="Normal 4 5" xfId="95"/>
    <cellStyle name="Normal 4 6" xfId="96"/>
    <cellStyle name="Normal 4 7" xfId="97"/>
    <cellStyle name="Normal 4 8" xfId="98"/>
    <cellStyle name="Normal 5" xfId="99"/>
    <cellStyle name="Normal 5 2" xfId="100"/>
    <cellStyle name="Normal 5 3" xfId="101"/>
    <cellStyle name="Normal 5 4" xfId="102"/>
    <cellStyle name="Normal 5 5" xfId="103"/>
    <cellStyle name="Normal 5 6" xfId="104"/>
    <cellStyle name="Normal 5 7" xfId="105"/>
    <cellStyle name="Normal 5 8" xfId="106"/>
    <cellStyle name="Normal 6" xfId="107"/>
    <cellStyle name="Normal 6 2" xfId="108"/>
    <cellStyle name="Normal 6 3" xfId="109"/>
    <cellStyle name="Normal 6 4" xfId="110"/>
    <cellStyle name="Normal 63" xfId="111"/>
    <cellStyle name="Normal 66" xfId="112"/>
    <cellStyle name="Normal 7" xfId="113"/>
    <cellStyle name="Normal 7 2" xfId="114"/>
    <cellStyle name="Normal 7 3" xfId="115"/>
    <cellStyle name="Normal 8" xfId="116"/>
    <cellStyle name="Normal 9" xfId="5"/>
    <cellStyle name="Normal 9 2" xfId="117"/>
    <cellStyle name="Percent 2" xfId="4"/>
    <cellStyle name="Satisfaisant 2" xfId="118"/>
    <cellStyle name="Sortie 2" xfId="119"/>
    <cellStyle name="Texte explicatif 2" xfId="120"/>
    <cellStyle name="Titre 2" xfId="121"/>
    <cellStyle name="Titre 1 2" xfId="122"/>
    <cellStyle name="Titre 2 2" xfId="123"/>
    <cellStyle name="Titre 3 2" xfId="124"/>
    <cellStyle name="Titre 4 2" xfId="125"/>
    <cellStyle name="Total 2" xfId="126"/>
    <cellStyle name="Vérification 2" xfId="127"/>
  </cellStyles>
  <dxfs count="0"/>
  <tableStyles count="0" defaultTableStyle="TableStyleMedium9" defaultPivotStyle="PivotStyleLight16"/>
  <colors>
    <mruColors>
      <color rgb="FF80008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5"/>
  <sheetViews>
    <sheetView tabSelected="1" topLeftCell="C22" workbookViewId="0">
      <selection activeCell="D55" sqref="D55"/>
    </sheetView>
  </sheetViews>
  <sheetFormatPr defaultRowHeight="12.75" x14ac:dyDescent="0.2"/>
  <cols>
    <col min="3" max="3" width="59.85546875" customWidth="1"/>
    <col min="4" max="4" width="22.5703125" customWidth="1"/>
    <col min="5" max="5" width="27" customWidth="1"/>
    <col min="6" max="6" width="28" customWidth="1"/>
    <col min="8" max="8" width="10.28515625" bestFit="1" customWidth="1"/>
  </cols>
  <sheetData>
    <row r="1" spans="3:14" x14ac:dyDescent="0.2">
      <c r="C1" s="199" t="s">
        <v>76</v>
      </c>
      <c r="D1" s="200"/>
      <c r="E1" s="200"/>
      <c r="F1" s="201"/>
    </row>
    <row r="2" spans="3:14" ht="15.75" x14ac:dyDescent="0.25">
      <c r="C2" s="202" t="s">
        <v>82</v>
      </c>
      <c r="D2" s="203"/>
      <c r="E2" s="203"/>
      <c r="F2" s="204"/>
      <c r="H2" s="197"/>
      <c r="I2" s="197"/>
      <c r="J2" s="197"/>
      <c r="K2" s="197"/>
      <c r="L2" s="197"/>
      <c r="M2" s="197"/>
      <c r="N2" s="197"/>
    </row>
    <row r="3" spans="3:14" ht="15.75" x14ac:dyDescent="0.25">
      <c r="C3" s="199" t="s">
        <v>22</v>
      </c>
      <c r="D3" s="200"/>
      <c r="E3" s="200"/>
      <c r="F3" s="201"/>
      <c r="H3" s="198"/>
      <c r="I3" s="197"/>
      <c r="J3" s="197"/>
      <c r="K3" s="197"/>
      <c r="L3" s="197"/>
      <c r="M3" s="197"/>
      <c r="N3" s="197"/>
    </row>
    <row r="4" spans="3:14" x14ac:dyDescent="0.2">
      <c r="C4" s="194" t="s">
        <v>89</v>
      </c>
      <c r="D4" s="195"/>
      <c r="E4" s="195"/>
      <c r="F4" s="196"/>
    </row>
    <row r="7" spans="3:14" x14ac:dyDescent="0.2">
      <c r="C7" s="2"/>
      <c r="D7" s="2"/>
      <c r="E7" s="24"/>
      <c r="F7" s="24"/>
      <c r="G7" s="1"/>
    </row>
    <row r="8" spans="3:14" x14ac:dyDescent="0.2">
      <c r="C8" s="6"/>
      <c r="D8" s="6"/>
      <c r="E8" s="25" t="s">
        <v>21</v>
      </c>
      <c r="F8" s="25" t="s">
        <v>20</v>
      </c>
      <c r="G8" s="1"/>
    </row>
    <row r="9" spans="3:14" ht="25.5" x14ac:dyDescent="0.2">
      <c r="C9" s="16" t="s">
        <v>2</v>
      </c>
      <c r="D9" s="50" t="s">
        <v>107</v>
      </c>
      <c r="E9" s="145" t="s">
        <v>90</v>
      </c>
      <c r="F9" s="145" t="s">
        <v>91</v>
      </c>
      <c r="G9" s="1"/>
    </row>
    <row r="10" spans="3:14" x14ac:dyDescent="0.2">
      <c r="C10" s="13"/>
      <c r="D10" s="13"/>
      <c r="E10" s="26"/>
      <c r="F10" s="25"/>
      <c r="G10" s="1"/>
    </row>
    <row r="11" spans="3:14" x14ac:dyDescent="0.2">
      <c r="C11" s="9"/>
      <c r="D11" s="9"/>
      <c r="E11" s="8"/>
      <c r="F11" s="8"/>
    </row>
    <row r="12" spans="3:14" x14ac:dyDescent="0.2">
      <c r="C12" s="15" t="s">
        <v>3</v>
      </c>
      <c r="D12" s="27">
        <v>308067.13958348637</v>
      </c>
      <c r="E12" s="27"/>
      <c r="F12" s="7"/>
    </row>
    <row r="13" spans="3:14" x14ac:dyDescent="0.2">
      <c r="C13" s="3"/>
      <c r="D13" s="28"/>
      <c r="E13" s="28"/>
      <c r="F13" s="7"/>
    </row>
    <row r="14" spans="3:14" x14ac:dyDescent="0.2">
      <c r="C14" s="20" t="s">
        <v>27</v>
      </c>
      <c r="D14" s="28"/>
      <c r="E14" s="28"/>
      <c r="F14" s="7"/>
    </row>
    <row r="15" spans="3:14" x14ac:dyDescent="0.2">
      <c r="C15" s="3" t="s">
        <v>23</v>
      </c>
      <c r="D15" s="32"/>
      <c r="E15" s="129"/>
      <c r="F15" s="129">
        <f>1447537.24</f>
        <v>1447537.24</v>
      </c>
    </row>
    <row r="16" spans="3:14" ht="13.5" thickBot="1" x14ac:dyDescent="0.25">
      <c r="C16" s="3" t="s">
        <v>10</v>
      </c>
      <c r="D16" s="32"/>
      <c r="E16" s="32"/>
      <c r="F16" s="135"/>
    </row>
    <row r="17" spans="3:6" ht="13.5" thickBot="1" x14ac:dyDescent="0.25">
      <c r="C17" s="17" t="s">
        <v>0</v>
      </c>
      <c r="D17" s="33">
        <f>SUM(D12:D16)</f>
        <v>308067.13958348637</v>
      </c>
      <c r="E17" s="136">
        <f>SUM(E12:E16)</f>
        <v>0</v>
      </c>
      <c r="F17" s="137">
        <f>F15</f>
        <v>1447537.24</v>
      </c>
    </row>
    <row r="18" spans="3:6" x14ac:dyDescent="0.2">
      <c r="C18" s="10"/>
      <c r="D18" s="35"/>
      <c r="E18" s="35"/>
      <c r="F18" s="130"/>
    </row>
    <row r="19" spans="3:6" x14ac:dyDescent="0.2">
      <c r="C19" s="15" t="s">
        <v>4</v>
      </c>
      <c r="D19" s="28"/>
      <c r="E19" s="28"/>
      <c r="F19" s="7"/>
    </row>
    <row r="20" spans="3:6" x14ac:dyDescent="0.2">
      <c r="C20" s="20" t="s">
        <v>27</v>
      </c>
      <c r="D20" s="28"/>
      <c r="E20" s="28"/>
      <c r="F20" s="7"/>
    </row>
    <row r="21" spans="3:6" x14ac:dyDescent="0.2">
      <c r="C21" s="3" t="s">
        <v>23</v>
      </c>
      <c r="D21" s="28"/>
      <c r="E21" s="28"/>
      <c r="F21" s="131"/>
    </row>
    <row r="22" spans="3:6" ht="13.5" thickBot="1" x14ac:dyDescent="0.25">
      <c r="C22" s="3" t="s">
        <v>10</v>
      </c>
      <c r="D22" s="32"/>
      <c r="E22" s="32"/>
      <c r="F22" s="135"/>
    </row>
    <row r="23" spans="3:6" ht="13.5" thickBot="1" x14ac:dyDescent="0.25">
      <c r="C23" s="17" t="s">
        <v>5</v>
      </c>
      <c r="D23" s="34">
        <f>SUM(D17:D22)</f>
        <v>308067.13958348637</v>
      </c>
      <c r="E23" s="136">
        <f>SUM(E17:E22)</f>
        <v>0</v>
      </c>
      <c r="F23" s="138">
        <f>F15+F21</f>
        <v>1447537.24</v>
      </c>
    </row>
    <row r="24" spans="3:6" x14ac:dyDescent="0.2">
      <c r="C24" s="18"/>
      <c r="D24" s="35"/>
      <c r="E24" s="35"/>
      <c r="F24" s="130"/>
    </row>
    <row r="25" spans="3:6" x14ac:dyDescent="0.2">
      <c r="C25" s="15" t="s">
        <v>26</v>
      </c>
      <c r="D25" s="28"/>
      <c r="E25" s="28"/>
      <c r="F25" s="7"/>
    </row>
    <row r="26" spans="3:6" x14ac:dyDescent="0.2">
      <c r="C26" s="3"/>
      <c r="D26" s="28"/>
      <c r="E26" s="28"/>
      <c r="F26" s="7"/>
    </row>
    <row r="27" spans="3:6" x14ac:dyDescent="0.2">
      <c r="C27" s="42" t="s">
        <v>69</v>
      </c>
      <c r="D27" s="28">
        <f>'uses of fund by component'!C39</f>
        <v>40462.809187279148</v>
      </c>
      <c r="E27" s="28">
        <f t="shared" ref="E27:E33" si="0">D27</f>
        <v>40462.809187279148</v>
      </c>
      <c r="F27" s="129">
        <f>254766.813095939+E27</f>
        <v>295229.62228321814</v>
      </c>
    </row>
    <row r="28" spans="3:6" x14ac:dyDescent="0.2">
      <c r="C28" s="42" t="s">
        <v>70</v>
      </c>
      <c r="D28" s="28">
        <f>'uses of fund by component'!C48</f>
        <v>201413.42756183745</v>
      </c>
      <c r="E28" s="28">
        <f t="shared" si="0"/>
        <v>201413.42756183745</v>
      </c>
      <c r="F28" s="129">
        <f>469321.380014722+E28</f>
        <v>670734.80757655948</v>
      </c>
    </row>
    <row r="29" spans="3:6" x14ac:dyDescent="0.2">
      <c r="C29" s="42" t="s">
        <v>71</v>
      </c>
      <c r="D29" s="28">
        <f>'uses of fund by component'!C98</f>
        <v>53176.219081272095</v>
      </c>
      <c r="E29" s="28">
        <f t="shared" si="0"/>
        <v>53176.219081272095</v>
      </c>
      <c r="F29" s="129">
        <f>45317.2438596491+E29</f>
        <v>98493.462940921192</v>
      </c>
    </row>
    <row r="30" spans="3:6" x14ac:dyDescent="0.2">
      <c r="C30" s="42" t="s">
        <v>72</v>
      </c>
      <c r="D30" s="36">
        <f>'uses of fund by component'!C108</f>
        <v>0</v>
      </c>
      <c r="E30" s="28">
        <f t="shared" si="0"/>
        <v>0</v>
      </c>
      <c r="F30" s="129">
        <f>4662.30769230769+E30</f>
        <v>4662.3076923076896</v>
      </c>
    </row>
    <row r="31" spans="3:6" x14ac:dyDescent="0.2">
      <c r="C31" s="42" t="s">
        <v>73</v>
      </c>
      <c r="D31" s="36">
        <f>'uses of fund by component'!C116</f>
        <v>636.0424028268551</v>
      </c>
      <c r="E31" s="28">
        <f t="shared" si="0"/>
        <v>636.0424028268551</v>
      </c>
      <c r="F31" s="129">
        <f>17623.5860630597+E31</f>
        <v>18259.628465886555</v>
      </c>
    </row>
    <row r="32" spans="3:6" x14ac:dyDescent="0.2">
      <c r="C32" s="42" t="s">
        <v>74</v>
      </c>
      <c r="D32" s="55">
        <f>'uses of fund by component'!C183</f>
        <v>20180.183745583039</v>
      </c>
      <c r="E32" s="28">
        <f t="shared" si="0"/>
        <v>20180.183745583039</v>
      </c>
      <c r="F32" s="129">
        <f>326925.105774751+E32</f>
        <v>347105.28952033404</v>
      </c>
    </row>
    <row r="33" spans="2:8" x14ac:dyDescent="0.2">
      <c r="B33" s="5"/>
      <c r="C33" s="52" t="s">
        <v>75</v>
      </c>
      <c r="D33" s="28">
        <f>'uses of fund by component'!C200</f>
        <v>0</v>
      </c>
      <c r="E33" s="28">
        <f t="shared" si="0"/>
        <v>0</v>
      </c>
      <c r="F33" s="129">
        <f>20853.6639160839+E33</f>
        <v>20853.6639160839</v>
      </c>
    </row>
    <row r="34" spans="2:8" x14ac:dyDescent="0.2">
      <c r="B34" s="5"/>
      <c r="C34" s="52"/>
      <c r="D34" s="28"/>
      <c r="E34" s="28"/>
      <c r="F34" s="7"/>
    </row>
    <row r="35" spans="2:8" s="12" customFormat="1" ht="13.5" thickBot="1" x14ac:dyDescent="0.25">
      <c r="C35" s="19" t="s">
        <v>15</v>
      </c>
      <c r="D35" s="31">
        <f>SUM(D27:D33)</f>
        <v>315868.68197879859</v>
      </c>
      <c r="E35" s="139">
        <f>SUM(E27:E33)</f>
        <v>315868.68197879859</v>
      </c>
      <c r="F35" s="141">
        <f>SUM(F27:F34)</f>
        <v>1455338.7823953112</v>
      </c>
    </row>
    <row r="36" spans="2:8" ht="13.5" thickBot="1" x14ac:dyDescent="0.25">
      <c r="C36" s="17" t="s">
        <v>14</v>
      </c>
      <c r="D36" s="132">
        <f>D35</f>
        <v>315868.68197879859</v>
      </c>
      <c r="E36" s="140">
        <f>E35</f>
        <v>315868.68197879859</v>
      </c>
      <c r="F36" s="138">
        <f>F35</f>
        <v>1455338.7823953112</v>
      </c>
    </row>
    <row r="37" spans="2:8" x14ac:dyDescent="0.2">
      <c r="C37" s="66"/>
      <c r="D37" s="67"/>
      <c r="E37" s="68"/>
      <c r="F37" s="68"/>
    </row>
    <row r="38" spans="2:8" x14ac:dyDescent="0.2">
      <c r="C38" s="20" t="s">
        <v>27</v>
      </c>
      <c r="D38" s="28"/>
      <c r="E38" s="28">
        <f>D38</f>
        <v>0</v>
      </c>
      <c r="F38" s="7"/>
    </row>
    <row r="39" spans="2:8" x14ac:dyDescent="0.2">
      <c r="C39" s="3" t="s">
        <v>23</v>
      </c>
      <c r="D39" s="28">
        <f>D23-D35</f>
        <v>-7801.5423953122227</v>
      </c>
      <c r="E39" s="28">
        <f>D17-E35+E21</f>
        <v>-7801.5423953122227</v>
      </c>
      <c r="F39" s="131">
        <f>F23-F35</f>
        <v>-7801.5423953111749</v>
      </c>
      <c r="H39" s="108"/>
    </row>
    <row r="40" spans="2:8" ht="13.5" thickBot="1" x14ac:dyDescent="0.25">
      <c r="C40" s="3" t="s">
        <v>10</v>
      </c>
      <c r="D40" s="28"/>
      <c r="E40" s="28">
        <f t="shared" ref="E40" si="1">D40</f>
        <v>0</v>
      </c>
      <c r="F40" s="7"/>
    </row>
    <row r="41" spans="2:8" s="12" customFormat="1" ht="13.5" thickBot="1" x14ac:dyDescent="0.25">
      <c r="C41" s="17" t="s">
        <v>6</v>
      </c>
      <c r="D41" s="43">
        <f>SUM(D37:D40)</f>
        <v>-7801.5423953122227</v>
      </c>
      <c r="E41" s="43">
        <f>E39</f>
        <v>-7801.5423953122227</v>
      </c>
      <c r="F41" s="132">
        <f>E41</f>
        <v>-7801.5423953122227</v>
      </c>
    </row>
    <row r="42" spans="2:8" x14ac:dyDescent="0.2">
      <c r="C42" s="3"/>
      <c r="D42" s="5"/>
      <c r="E42" s="4"/>
      <c r="F42" s="7"/>
    </row>
    <row r="43" spans="2:8" x14ac:dyDescent="0.2">
      <c r="C43" s="10"/>
      <c r="D43" s="11"/>
      <c r="E43" s="11"/>
      <c r="F43" s="133"/>
    </row>
    <row r="44" spans="2:8" x14ac:dyDescent="0.2">
      <c r="C44" s="104" t="s">
        <v>36</v>
      </c>
      <c r="D44" s="103"/>
      <c r="E44" s="103"/>
      <c r="F44" s="103"/>
    </row>
    <row r="45" spans="2:8" x14ac:dyDescent="0.2">
      <c r="C45" s="99"/>
      <c r="D45" s="7"/>
      <c r="E45" s="7"/>
      <c r="F45" s="7"/>
    </row>
    <row r="46" spans="2:8" x14ac:dyDescent="0.2">
      <c r="C46" s="100" t="s">
        <v>41</v>
      </c>
      <c r="D46" s="28">
        <f>'Committed Fund by component'!C22</f>
        <v>0</v>
      </c>
      <c r="E46" s="28">
        <f>'Committed Fund by component'!D22</f>
        <v>0</v>
      </c>
      <c r="F46" s="28">
        <f>E46</f>
        <v>0</v>
      </c>
    </row>
    <row r="47" spans="2:8" x14ac:dyDescent="0.2">
      <c r="C47" s="100"/>
      <c r="D47" s="7"/>
      <c r="E47" s="7"/>
      <c r="F47" s="7"/>
    </row>
    <row r="48" spans="2:8" x14ac:dyDescent="0.2">
      <c r="C48" s="101" t="s">
        <v>35</v>
      </c>
      <c r="D48" s="53">
        <f>D46</f>
        <v>0</v>
      </c>
      <c r="E48" s="53">
        <f>E46</f>
        <v>0</v>
      </c>
      <c r="F48" s="28">
        <f>E48</f>
        <v>0</v>
      </c>
    </row>
    <row r="49" spans="3:6" x14ac:dyDescent="0.2">
      <c r="C49" s="142" t="s">
        <v>38</v>
      </c>
      <c r="D49" s="143">
        <f>D36+D48</f>
        <v>315868.68197879859</v>
      </c>
      <c r="E49" s="143">
        <f>E36+E48</f>
        <v>315868.68197879859</v>
      </c>
      <c r="F49" s="144">
        <f>F36+F48</f>
        <v>1455338.7823953112</v>
      </c>
    </row>
    <row r="50" spans="3:6" x14ac:dyDescent="0.2">
      <c r="C50" s="102" t="s">
        <v>14</v>
      </c>
      <c r="D50" s="105">
        <f>D41-D48</f>
        <v>-7801.5423953122227</v>
      </c>
      <c r="E50" s="105">
        <f>E41-E48</f>
        <v>-7801.5423953122227</v>
      </c>
      <c r="F50" s="134">
        <f>F41-F48</f>
        <v>-7801.5423953122227</v>
      </c>
    </row>
    <row r="54" spans="3:6" x14ac:dyDescent="0.2">
      <c r="C54" t="s">
        <v>83</v>
      </c>
      <c r="D54" t="s">
        <v>165</v>
      </c>
    </row>
    <row r="55" spans="3:6" x14ac:dyDescent="0.2">
      <c r="C55" t="s">
        <v>84</v>
      </c>
      <c r="D55" s="149" t="s">
        <v>85</v>
      </c>
    </row>
  </sheetData>
  <mergeCells count="6">
    <mergeCell ref="C4:F4"/>
    <mergeCell ref="H2:N2"/>
    <mergeCell ref="H3:N3"/>
    <mergeCell ref="C1:F1"/>
    <mergeCell ref="C2:F2"/>
    <mergeCell ref="C3:F3"/>
  </mergeCells>
  <phoneticPr fontId="0" type="noConversion"/>
  <pageMargins left="0.57999999999999996" right="0.47" top="0.63" bottom="0.66" header="0.31" footer="0.38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1"/>
  <sheetViews>
    <sheetView topLeftCell="A34" zoomScale="85" zoomScaleNormal="85" workbookViewId="0">
      <selection activeCell="C66" sqref="C66"/>
    </sheetView>
  </sheetViews>
  <sheetFormatPr defaultRowHeight="12.75" x14ac:dyDescent="0.2"/>
  <cols>
    <col min="1" max="1" width="3.7109375" style="149" customWidth="1"/>
    <col min="2" max="2" width="96.140625" style="149" customWidth="1"/>
    <col min="3" max="3" width="13.140625" style="149" customWidth="1"/>
    <col min="4" max="4" width="12.85546875" style="149" bestFit="1" customWidth="1"/>
    <col min="5" max="5" width="14.42578125" style="149" customWidth="1"/>
    <col min="6" max="6" width="11.140625" style="149" customWidth="1"/>
    <col min="7" max="7" width="11.5703125" style="149" customWidth="1"/>
    <col min="8" max="8" width="9.140625" style="149"/>
    <col min="9" max="9" width="14.85546875" style="149" customWidth="1"/>
    <col min="10" max="10" width="10.85546875" style="149" bestFit="1" customWidth="1"/>
    <col min="11" max="16384" width="9.140625" style="149"/>
  </cols>
  <sheetData>
    <row r="1" spans="2:11" x14ac:dyDescent="0.2">
      <c r="B1" s="208" t="s">
        <v>77</v>
      </c>
      <c r="C1" s="208"/>
      <c r="D1" s="208"/>
      <c r="E1" s="208"/>
      <c r="F1" s="208"/>
      <c r="G1" s="208"/>
      <c r="H1" s="208"/>
      <c r="I1" s="208"/>
      <c r="J1" s="208"/>
    </row>
    <row r="2" spans="2:11" ht="15" x14ac:dyDescent="0.25">
      <c r="B2" s="202" t="s">
        <v>82</v>
      </c>
      <c r="C2" s="203"/>
      <c r="D2" s="203"/>
      <c r="E2" s="203"/>
      <c r="F2" s="203"/>
      <c r="G2" s="203"/>
      <c r="H2" s="203"/>
      <c r="I2" s="203"/>
      <c r="J2" s="203"/>
    </row>
    <row r="3" spans="2:11" x14ac:dyDescent="0.2">
      <c r="B3" s="208" t="s">
        <v>24</v>
      </c>
      <c r="C3" s="208"/>
      <c r="D3" s="208"/>
      <c r="E3" s="208"/>
      <c r="F3" s="208"/>
      <c r="G3" s="208"/>
      <c r="H3" s="208"/>
      <c r="I3" s="208"/>
      <c r="J3" s="208"/>
    </row>
    <row r="4" spans="2:11" x14ac:dyDescent="0.2">
      <c r="B4" s="208" t="s">
        <v>88</v>
      </c>
      <c r="C4" s="208"/>
      <c r="D4" s="208"/>
      <c r="E4" s="208"/>
      <c r="F4" s="208"/>
      <c r="G4" s="208"/>
      <c r="H4" s="208"/>
      <c r="I4" s="208"/>
      <c r="J4" s="208"/>
    </row>
    <row r="6" spans="2:11" x14ac:dyDescent="0.2">
      <c r="F6" s="149" t="s">
        <v>28</v>
      </c>
      <c r="J6" s="12"/>
    </row>
    <row r="8" spans="2:11" x14ac:dyDescent="0.2">
      <c r="B8" s="150"/>
      <c r="C8" s="150"/>
      <c r="D8" s="151"/>
      <c r="E8" s="152"/>
      <c r="F8" s="150"/>
      <c r="G8" s="151"/>
      <c r="H8" s="152"/>
      <c r="I8" s="152"/>
      <c r="J8" s="152"/>
      <c r="K8" s="152"/>
    </row>
    <row r="9" spans="2:11" x14ac:dyDescent="0.2">
      <c r="B9" s="22"/>
      <c r="C9" s="209" t="s">
        <v>107</v>
      </c>
      <c r="D9" s="210"/>
      <c r="E9" s="211"/>
      <c r="F9" s="205"/>
      <c r="G9" s="206"/>
      <c r="H9" s="207"/>
      <c r="I9" s="21"/>
      <c r="J9" s="21"/>
      <c r="K9" s="21"/>
    </row>
    <row r="10" spans="2:11" ht="12.75" customHeight="1" x14ac:dyDescent="0.2">
      <c r="B10" s="147" t="s">
        <v>1</v>
      </c>
      <c r="C10" s="209"/>
      <c r="D10" s="210"/>
      <c r="E10" s="211"/>
      <c r="F10" s="205" t="s">
        <v>20</v>
      </c>
      <c r="G10" s="206"/>
      <c r="H10" s="207"/>
      <c r="I10" s="21" t="s">
        <v>17</v>
      </c>
      <c r="J10" s="21" t="s">
        <v>18</v>
      </c>
      <c r="K10" s="21" t="s">
        <v>12</v>
      </c>
    </row>
    <row r="11" spans="2:11" x14ac:dyDescent="0.2">
      <c r="B11" s="13"/>
      <c r="C11" s="209"/>
      <c r="D11" s="210"/>
      <c r="E11" s="211"/>
      <c r="F11" s="22"/>
      <c r="G11" s="23" t="s">
        <v>19</v>
      </c>
      <c r="H11" s="14"/>
      <c r="I11" s="21" t="s">
        <v>9</v>
      </c>
      <c r="J11" s="21" t="s">
        <v>11</v>
      </c>
      <c r="K11" s="21" t="s">
        <v>13</v>
      </c>
    </row>
    <row r="12" spans="2:11" x14ac:dyDescent="0.2">
      <c r="B12" s="153"/>
      <c r="C12" s="153" t="s">
        <v>7</v>
      </c>
      <c r="D12" s="154" t="s">
        <v>8</v>
      </c>
      <c r="E12" s="155" t="s">
        <v>9</v>
      </c>
      <c r="F12" s="153" t="s">
        <v>7</v>
      </c>
      <c r="G12" s="154" t="s">
        <v>8</v>
      </c>
      <c r="H12" s="155" t="s">
        <v>9</v>
      </c>
      <c r="I12" s="155"/>
      <c r="J12" s="155"/>
      <c r="K12" s="155"/>
    </row>
    <row r="13" spans="2:11" x14ac:dyDescent="0.2">
      <c r="B13" s="15" t="s">
        <v>78</v>
      </c>
      <c r="C13" s="164"/>
      <c r="D13" s="164"/>
      <c r="E13" s="60"/>
      <c r="F13" s="60"/>
      <c r="G13" s="60"/>
      <c r="H13" s="60"/>
      <c r="I13" s="46"/>
      <c r="J13" s="156"/>
      <c r="K13" s="156"/>
    </row>
    <row r="14" spans="2:11" s="182" customFormat="1" ht="16.5" x14ac:dyDescent="0.3">
      <c r="B14" s="187" t="s">
        <v>108</v>
      </c>
      <c r="C14" s="191">
        <f>3080/5.66</f>
        <v>544.1696113074205</v>
      </c>
      <c r="D14" s="170"/>
      <c r="E14" s="169"/>
      <c r="F14" s="190"/>
      <c r="G14" s="190"/>
      <c r="H14" s="169"/>
      <c r="I14" s="170"/>
      <c r="J14" s="101"/>
      <c r="K14" s="101"/>
    </row>
    <row r="15" spans="2:11" ht="16.5" x14ac:dyDescent="0.3">
      <c r="B15" s="187" t="s">
        <v>92</v>
      </c>
      <c r="C15" s="191">
        <f>15105/5.66</f>
        <v>2668.7279151943462</v>
      </c>
      <c r="D15" s="46"/>
      <c r="E15" s="60"/>
      <c r="F15" s="60"/>
      <c r="G15" s="60"/>
      <c r="H15" s="60"/>
      <c r="I15" s="46"/>
      <c r="J15" s="156"/>
      <c r="K15" s="156"/>
    </row>
    <row r="16" spans="2:11" ht="16.5" x14ac:dyDescent="0.3">
      <c r="B16" s="187" t="s">
        <v>93</v>
      </c>
      <c r="C16" s="191">
        <f>24225/5.66</f>
        <v>4280.0353356890455</v>
      </c>
      <c r="D16" s="46"/>
      <c r="E16" s="60"/>
      <c r="F16" s="60"/>
      <c r="G16" s="60"/>
      <c r="H16" s="60"/>
      <c r="I16" s="46"/>
      <c r="J16" s="46"/>
      <c r="K16" s="46"/>
    </row>
    <row r="17" spans="2:11" ht="16.5" x14ac:dyDescent="0.3">
      <c r="B17" s="187" t="s">
        <v>94</v>
      </c>
      <c r="C17" s="191">
        <f>800/5.66</f>
        <v>141.34275618374559</v>
      </c>
      <c r="D17" s="46"/>
      <c r="E17" s="60"/>
      <c r="F17" s="60"/>
      <c r="G17" s="60"/>
      <c r="H17" s="60"/>
      <c r="I17" s="46"/>
      <c r="J17" s="46"/>
      <c r="K17" s="46"/>
    </row>
    <row r="18" spans="2:11" ht="16.5" x14ac:dyDescent="0.3">
      <c r="B18" s="187" t="s">
        <v>94</v>
      </c>
      <c r="C18" s="191">
        <f>800/5.66</f>
        <v>141.34275618374559</v>
      </c>
      <c r="D18" s="46"/>
      <c r="E18" s="60"/>
      <c r="F18" s="60"/>
      <c r="G18" s="60"/>
      <c r="H18" s="60"/>
      <c r="I18" s="157"/>
      <c r="J18" s="157"/>
      <c r="K18" s="46"/>
    </row>
    <row r="19" spans="2:11" ht="16.5" x14ac:dyDescent="0.3">
      <c r="B19" s="187" t="s">
        <v>94</v>
      </c>
      <c r="C19" s="191">
        <f>800/5.66</f>
        <v>141.34275618374559</v>
      </c>
      <c r="D19" s="46"/>
      <c r="E19" s="60"/>
      <c r="F19" s="60"/>
      <c r="G19" s="60"/>
      <c r="H19" s="60"/>
      <c r="I19" s="157"/>
      <c r="J19" s="157"/>
      <c r="K19" s="46"/>
    </row>
    <row r="20" spans="2:11" ht="16.5" x14ac:dyDescent="0.3">
      <c r="B20" s="187" t="s">
        <v>95</v>
      </c>
      <c r="C20" s="191">
        <f>23093.5/5.66</f>
        <v>4080.1236749116606</v>
      </c>
      <c r="D20" s="46"/>
      <c r="E20" s="60"/>
      <c r="F20" s="60"/>
      <c r="G20" s="60"/>
      <c r="H20" s="60"/>
      <c r="I20" s="157"/>
      <c r="J20" s="157"/>
      <c r="K20" s="46"/>
    </row>
    <row r="21" spans="2:11" ht="16.5" x14ac:dyDescent="0.3">
      <c r="B21" s="187" t="s">
        <v>96</v>
      </c>
      <c r="C21" s="191">
        <f>14919.5/5.66</f>
        <v>2635.9540636042402</v>
      </c>
      <c r="D21" s="46"/>
      <c r="E21" s="60"/>
      <c r="F21" s="60"/>
      <c r="G21" s="60"/>
      <c r="H21" s="60"/>
      <c r="I21" s="157"/>
      <c r="J21" s="157"/>
      <c r="K21" s="46"/>
    </row>
    <row r="22" spans="2:11" ht="16.5" x14ac:dyDescent="0.3">
      <c r="B22" s="187" t="s">
        <v>97</v>
      </c>
      <c r="C22" s="191">
        <f>18726.5/5.66</f>
        <v>3308.5689045936397</v>
      </c>
      <c r="D22" s="46"/>
      <c r="E22" s="60"/>
      <c r="F22" s="60"/>
      <c r="G22" s="60"/>
      <c r="H22" s="60"/>
      <c r="I22" s="157"/>
      <c r="J22" s="157"/>
      <c r="K22" s="46"/>
    </row>
    <row r="23" spans="2:11" ht="16.5" x14ac:dyDescent="0.3">
      <c r="B23" s="187" t="s">
        <v>97</v>
      </c>
      <c r="C23" s="191">
        <f>22919/5.66</f>
        <v>4049.293286219081</v>
      </c>
      <c r="D23" s="46"/>
      <c r="E23" s="60"/>
      <c r="F23" s="60"/>
      <c r="G23" s="60"/>
      <c r="H23" s="60"/>
      <c r="I23" s="157"/>
      <c r="J23" s="157"/>
      <c r="K23" s="46"/>
    </row>
    <row r="24" spans="2:11" ht="16.5" x14ac:dyDescent="0.3">
      <c r="B24" s="187" t="s">
        <v>98</v>
      </c>
      <c r="C24" s="191">
        <f>22960/5.66</f>
        <v>4056.5371024734982</v>
      </c>
      <c r="D24" s="46"/>
      <c r="E24" s="60"/>
      <c r="F24" s="60"/>
      <c r="G24" s="60"/>
      <c r="H24" s="60"/>
      <c r="I24" s="157"/>
      <c r="J24" s="157"/>
      <c r="K24" s="46"/>
    </row>
    <row r="25" spans="2:11" ht="16.5" x14ac:dyDescent="0.3">
      <c r="B25" s="187" t="s">
        <v>99</v>
      </c>
      <c r="C25" s="191">
        <f>16800/5.66</f>
        <v>2968.197879858657</v>
      </c>
      <c r="D25" s="46"/>
      <c r="E25" s="60"/>
      <c r="F25" s="60"/>
      <c r="G25" s="60"/>
      <c r="H25" s="60"/>
      <c r="I25" s="157"/>
      <c r="J25" s="157"/>
      <c r="K25" s="46"/>
    </row>
    <row r="26" spans="2:11" ht="16.5" x14ac:dyDescent="0.3">
      <c r="B26" s="187" t="s">
        <v>100</v>
      </c>
      <c r="C26" s="191">
        <f>940/5.66</f>
        <v>166.07773851590105</v>
      </c>
      <c r="D26" s="46"/>
      <c r="E26" s="60"/>
      <c r="F26" s="60"/>
      <c r="G26" s="60"/>
      <c r="H26" s="60"/>
      <c r="I26" s="157"/>
      <c r="J26" s="157"/>
      <c r="K26" s="46"/>
    </row>
    <row r="27" spans="2:11" ht="16.5" x14ac:dyDescent="0.3">
      <c r="B27" s="187" t="s">
        <v>101</v>
      </c>
      <c r="C27" s="191">
        <f>193/5.66</f>
        <v>34.098939929328623</v>
      </c>
      <c r="D27" s="46"/>
      <c r="E27" s="60"/>
      <c r="F27" s="60"/>
      <c r="G27" s="60"/>
      <c r="H27" s="60"/>
      <c r="I27" s="157"/>
      <c r="J27" s="157"/>
      <c r="K27" s="46"/>
    </row>
    <row r="28" spans="2:11" ht="16.5" x14ac:dyDescent="0.3">
      <c r="B28" s="187" t="s">
        <v>101</v>
      </c>
      <c r="C28" s="191">
        <f>148/5.66</f>
        <v>26.148409893992934</v>
      </c>
      <c r="D28" s="46"/>
      <c r="E28" s="60"/>
      <c r="F28" s="60"/>
      <c r="G28" s="60"/>
      <c r="H28" s="60"/>
      <c r="I28" s="157"/>
      <c r="J28" s="157"/>
      <c r="K28" s="46"/>
    </row>
    <row r="29" spans="2:11" ht="16.5" x14ac:dyDescent="0.3">
      <c r="B29" s="187" t="s">
        <v>102</v>
      </c>
      <c r="C29" s="191">
        <f>22960/5.66</f>
        <v>4056.5371024734982</v>
      </c>
      <c r="D29" s="46"/>
      <c r="E29" s="60"/>
      <c r="F29" s="60"/>
      <c r="G29" s="60"/>
      <c r="H29" s="60"/>
      <c r="I29" s="157"/>
      <c r="J29" s="157"/>
      <c r="K29" s="46"/>
    </row>
    <row r="30" spans="2:11" ht="16.5" x14ac:dyDescent="0.3">
      <c r="B30" s="187" t="s">
        <v>103</v>
      </c>
      <c r="C30" s="191">
        <f>16800/5.66</f>
        <v>2968.197879858657</v>
      </c>
      <c r="D30" s="46"/>
      <c r="E30" s="60"/>
      <c r="F30" s="60"/>
      <c r="G30" s="60"/>
      <c r="H30" s="60"/>
      <c r="I30" s="157"/>
      <c r="J30" s="157"/>
      <c r="K30" s="46"/>
    </row>
    <row r="31" spans="2:11" ht="16.5" x14ac:dyDescent="0.3">
      <c r="B31" s="187" t="s">
        <v>104</v>
      </c>
      <c r="C31" s="191">
        <f>230/5.66</f>
        <v>40.636042402826853</v>
      </c>
      <c r="D31" s="46"/>
      <c r="E31" s="60"/>
      <c r="F31" s="60"/>
      <c r="G31" s="60"/>
      <c r="H31" s="60"/>
      <c r="I31" s="157"/>
      <c r="J31" s="157"/>
      <c r="K31" s="46"/>
    </row>
    <row r="32" spans="2:11" ht="16.5" x14ac:dyDescent="0.3">
      <c r="B32" s="187" t="s">
        <v>105</v>
      </c>
      <c r="C32" s="191">
        <f>16800/5.66</f>
        <v>2968.197879858657</v>
      </c>
      <c r="D32" s="46"/>
      <c r="E32" s="60"/>
      <c r="F32" s="60"/>
      <c r="G32" s="60"/>
      <c r="H32" s="60"/>
      <c r="I32" s="157"/>
      <c r="J32" s="157"/>
      <c r="K32" s="46"/>
    </row>
    <row r="33" spans="2:11" ht="16.5" x14ac:dyDescent="0.3">
      <c r="B33" s="187" t="s">
        <v>106</v>
      </c>
      <c r="C33" s="191">
        <f>6720/5.66</f>
        <v>1187.2791519434629</v>
      </c>
      <c r="D33" s="46"/>
      <c r="E33" s="60"/>
      <c r="F33" s="60"/>
      <c r="G33" s="60"/>
      <c r="H33" s="60"/>
      <c r="I33" s="157"/>
      <c r="J33" s="157"/>
      <c r="K33" s="46"/>
    </row>
    <row r="34" spans="2:11" ht="16.5" x14ac:dyDescent="0.3">
      <c r="B34" s="184"/>
      <c r="C34" s="185"/>
      <c r="D34" s="46"/>
      <c r="E34" s="60"/>
      <c r="F34" s="60"/>
      <c r="G34" s="60"/>
      <c r="H34" s="60"/>
      <c r="I34" s="157"/>
      <c r="J34" s="157"/>
      <c r="K34" s="46"/>
    </row>
    <row r="35" spans="2:11" ht="16.5" x14ac:dyDescent="0.3">
      <c r="B35" s="184"/>
      <c r="C35" s="185"/>
      <c r="D35" s="46"/>
      <c r="E35" s="60"/>
      <c r="F35" s="60"/>
      <c r="G35" s="60"/>
      <c r="H35" s="60"/>
      <c r="I35" s="157"/>
      <c r="J35" s="157"/>
      <c r="K35" s="46"/>
    </row>
    <row r="36" spans="2:11" ht="16.5" x14ac:dyDescent="0.3">
      <c r="B36" s="184"/>
      <c r="C36" s="185"/>
      <c r="D36" s="46"/>
      <c r="E36" s="60"/>
      <c r="F36" s="60"/>
      <c r="G36" s="60"/>
      <c r="H36" s="60"/>
      <c r="I36" s="157"/>
      <c r="J36" s="157"/>
      <c r="K36" s="46"/>
    </row>
    <row r="37" spans="2:11" x14ac:dyDescent="0.2">
      <c r="B37" s="51"/>
      <c r="C37" s="60"/>
      <c r="D37" s="60"/>
      <c r="E37" s="60"/>
      <c r="F37" s="60"/>
      <c r="G37" s="60"/>
      <c r="H37" s="60"/>
      <c r="I37" s="157"/>
      <c r="J37" s="157"/>
      <c r="K37" s="46"/>
    </row>
    <row r="38" spans="2:11" ht="13.5" thickBot="1" x14ac:dyDescent="0.25">
      <c r="B38" s="158"/>
      <c r="C38" s="159"/>
      <c r="D38" s="159"/>
      <c r="E38" s="159"/>
      <c r="F38" s="159"/>
      <c r="G38" s="159"/>
      <c r="H38" s="159"/>
      <c r="I38" s="42"/>
      <c r="J38" s="42"/>
      <c r="K38" s="160"/>
    </row>
    <row r="39" spans="2:11" s="12" customFormat="1" ht="13.5" thickBot="1" x14ac:dyDescent="0.25">
      <c r="B39" s="17" t="s">
        <v>16</v>
      </c>
      <c r="C39" s="37">
        <f>SUM(C14:C38)</f>
        <v>40462.809187279148</v>
      </c>
      <c r="D39" s="37">
        <f>SUM(D14:D38)</f>
        <v>0</v>
      </c>
      <c r="E39" s="37">
        <f>SUM(E14:E15)</f>
        <v>0</v>
      </c>
      <c r="F39" s="43">
        <f>SUM(F14:F17)</f>
        <v>0</v>
      </c>
      <c r="G39" s="43">
        <f>SUM(G14:G17)</f>
        <v>0</v>
      </c>
      <c r="H39" s="43">
        <f>SUM(H14:H15)</f>
        <v>0</v>
      </c>
      <c r="I39" s="44"/>
      <c r="J39" s="45"/>
      <c r="K39" s="45"/>
    </row>
    <row r="40" spans="2:11" x14ac:dyDescent="0.2">
      <c r="B40" s="161"/>
      <c r="C40" s="162"/>
      <c r="D40" s="162"/>
      <c r="E40" s="162"/>
      <c r="F40" s="162"/>
      <c r="G40" s="162"/>
      <c r="H40" s="162"/>
      <c r="I40" s="163"/>
      <c r="J40" s="163"/>
      <c r="K40" s="163"/>
    </row>
    <row r="41" spans="2:11" x14ac:dyDescent="0.2">
      <c r="B41" s="15" t="s">
        <v>30</v>
      </c>
      <c r="C41" s="164"/>
      <c r="D41" s="60"/>
      <c r="E41" s="60"/>
      <c r="F41" s="60"/>
      <c r="G41" s="60"/>
      <c r="H41" s="60"/>
      <c r="I41" s="46"/>
      <c r="J41" s="46"/>
      <c r="K41" s="46"/>
    </row>
    <row r="42" spans="2:11" ht="16.5" x14ac:dyDescent="0.3">
      <c r="B42" s="184" t="s">
        <v>110</v>
      </c>
      <c r="C42" s="185">
        <f>179809.52/5.66</f>
        <v>31768.466431095403</v>
      </c>
      <c r="D42" s="188"/>
      <c r="E42" s="60"/>
      <c r="F42" s="60"/>
      <c r="G42" s="57"/>
      <c r="H42" s="60"/>
      <c r="I42" s="46"/>
      <c r="J42" s="46"/>
      <c r="K42" s="46"/>
    </row>
    <row r="43" spans="2:11" ht="16.5" x14ac:dyDescent="0.3">
      <c r="B43" s="184" t="s">
        <v>109</v>
      </c>
      <c r="C43" s="185">
        <f>12190.48/5.66</f>
        <v>2153.7950530035332</v>
      </c>
      <c r="D43" s="188"/>
      <c r="E43" s="60"/>
      <c r="F43" s="60"/>
      <c r="G43" s="57"/>
      <c r="H43" s="60"/>
      <c r="I43" s="46"/>
      <c r="J43" s="46"/>
      <c r="K43" s="46"/>
    </row>
    <row r="44" spans="2:11" ht="16.5" x14ac:dyDescent="0.3">
      <c r="B44" s="184" t="s">
        <v>111</v>
      </c>
      <c r="C44" s="185">
        <f>948000/5.66</f>
        <v>167491.16607773851</v>
      </c>
      <c r="E44" s="60"/>
      <c r="F44" s="164"/>
      <c r="G44" s="57"/>
      <c r="H44" s="60"/>
      <c r="I44" s="46"/>
      <c r="J44" s="46"/>
      <c r="K44" s="46"/>
    </row>
    <row r="45" spans="2:11" x14ac:dyDescent="0.2">
      <c r="B45" s="51"/>
      <c r="C45" s="164"/>
      <c r="D45" s="60"/>
      <c r="E45" s="60"/>
      <c r="F45" s="164"/>
      <c r="G45" s="57"/>
      <c r="H45" s="60"/>
      <c r="I45" s="46"/>
      <c r="J45" s="46"/>
      <c r="K45" s="46"/>
    </row>
    <row r="46" spans="2:11" x14ac:dyDescent="0.2">
      <c r="B46" s="51"/>
      <c r="C46" s="164"/>
      <c r="D46" s="60"/>
      <c r="E46" s="60"/>
      <c r="F46" s="164"/>
      <c r="G46" s="57"/>
      <c r="H46" s="60"/>
      <c r="I46" s="46"/>
      <c r="J46" s="46"/>
      <c r="K46" s="46"/>
    </row>
    <row r="47" spans="2:11" ht="13.5" thickBot="1" x14ac:dyDescent="0.25">
      <c r="B47" s="46"/>
      <c r="C47" s="164"/>
      <c r="D47" s="57"/>
      <c r="E47" s="60"/>
      <c r="F47" s="164"/>
      <c r="G47" s="57"/>
      <c r="H47" s="60"/>
      <c r="I47" s="46"/>
      <c r="J47" s="46"/>
      <c r="K47" s="46"/>
    </row>
    <row r="48" spans="2:11" ht="13.5" thickBot="1" x14ac:dyDescent="0.25">
      <c r="B48" s="58" t="s">
        <v>16</v>
      </c>
      <c r="C48" s="37">
        <f>SUM(C42:C47)</f>
        <v>201413.42756183745</v>
      </c>
      <c r="D48" s="64">
        <f>SUM(D42:D47)</f>
        <v>0</v>
      </c>
      <c r="E48" s="64">
        <f>SUM(E42:E43)</f>
        <v>0</v>
      </c>
      <c r="F48" s="37">
        <f>SUM(F42:F43)</f>
        <v>0</v>
      </c>
      <c r="G48" s="65">
        <f>SUM(G42:G43)</f>
        <v>0</v>
      </c>
      <c r="H48" s="60"/>
      <c r="I48" s="46"/>
      <c r="J48" s="46"/>
      <c r="K48" s="46"/>
    </row>
    <row r="49" spans="2:11" x14ac:dyDescent="0.2">
      <c r="B49" s="18"/>
      <c r="C49" s="162"/>
      <c r="D49" s="162"/>
      <c r="E49" s="162"/>
      <c r="F49" s="162"/>
      <c r="G49" s="165"/>
      <c r="H49" s="165"/>
      <c r="I49" s="166"/>
      <c r="J49" s="166"/>
      <c r="K49" s="166"/>
    </row>
    <row r="50" spans="2:11" x14ac:dyDescent="0.2">
      <c r="B50" s="15" t="s">
        <v>79</v>
      </c>
      <c r="C50" s="167"/>
      <c r="D50" s="168"/>
      <c r="E50" s="168"/>
      <c r="F50" s="168"/>
      <c r="G50" s="169"/>
      <c r="H50" s="169"/>
      <c r="I50" s="170"/>
      <c r="J50" s="170"/>
      <c r="K50" s="170"/>
    </row>
    <row r="51" spans="2:11" ht="16.5" x14ac:dyDescent="0.3">
      <c r="B51" s="184" t="s">
        <v>112</v>
      </c>
      <c r="C51" s="185">
        <f>2675/5.66</f>
        <v>472.61484098939928</v>
      </c>
      <c r="D51" s="46"/>
      <c r="E51" s="169"/>
      <c r="F51" s="169"/>
      <c r="G51" s="169"/>
      <c r="H51" s="169"/>
      <c r="I51" s="170"/>
      <c r="J51" s="170"/>
      <c r="K51" s="170"/>
    </row>
    <row r="52" spans="2:11" s="182" customFormat="1" ht="16.5" x14ac:dyDescent="0.3">
      <c r="B52" s="184" t="s">
        <v>113</v>
      </c>
      <c r="C52" s="185">
        <f>3791.67/5.66</f>
        <v>669.90636042402832</v>
      </c>
      <c r="D52" s="170"/>
      <c r="E52" s="169"/>
      <c r="F52" s="169"/>
      <c r="G52" s="169"/>
      <c r="H52" s="169"/>
      <c r="I52" s="170"/>
      <c r="J52" s="170"/>
      <c r="K52" s="170"/>
    </row>
    <row r="53" spans="2:11" s="182" customFormat="1" ht="16.5" x14ac:dyDescent="0.3">
      <c r="B53" s="184" t="s">
        <v>114</v>
      </c>
      <c r="C53" s="185">
        <f>1470/5.66</f>
        <v>259.71731448763251</v>
      </c>
      <c r="D53" s="170"/>
      <c r="E53" s="169"/>
      <c r="F53" s="169"/>
      <c r="G53" s="169"/>
      <c r="H53" s="169"/>
      <c r="I53" s="170"/>
      <c r="J53" s="170"/>
      <c r="K53" s="170"/>
    </row>
    <row r="54" spans="2:11" s="182" customFormat="1" ht="16.5" x14ac:dyDescent="0.3">
      <c r="B54" s="184" t="s">
        <v>115</v>
      </c>
      <c r="C54" s="185">
        <f>2284.45/5.66</f>
        <v>403.61307420494694</v>
      </c>
      <c r="D54" s="170"/>
      <c r="E54" s="169"/>
      <c r="F54" s="169"/>
      <c r="G54" s="169"/>
      <c r="H54" s="169"/>
      <c r="I54" s="170"/>
      <c r="J54" s="170"/>
      <c r="K54" s="170"/>
    </row>
    <row r="55" spans="2:11" s="182" customFormat="1" ht="16.5" x14ac:dyDescent="0.3">
      <c r="B55" s="184" t="s">
        <v>116</v>
      </c>
      <c r="C55" s="185">
        <f>1292.22/5.66</f>
        <v>228.30742049469964</v>
      </c>
      <c r="D55" s="170"/>
      <c r="E55" s="169"/>
      <c r="F55" s="169"/>
      <c r="G55" s="169"/>
      <c r="H55" s="169"/>
      <c r="I55" s="170"/>
      <c r="J55" s="170"/>
      <c r="K55" s="170"/>
    </row>
    <row r="56" spans="2:11" ht="16.5" x14ac:dyDescent="0.3">
      <c r="B56" s="184" t="s">
        <v>117</v>
      </c>
      <c r="C56" s="185">
        <f>8780/5.66</f>
        <v>1551.2367491166078</v>
      </c>
      <c r="D56" s="46"/>
      <c r="E56" s="169"/>
      <c r="F56" s="169"/>
      <c r="G56" s="169"/>
      <c r="H56" s="169"/>
      <c r="I56" s="170"/>
      <c r="J56" s="170"/>
      <c r="K56" s="170"/>
    </row>
    <row r="57" spans="2:11" s="182" customFormat="1" ht="16.5" x14ac:dyDescent="0.3">
      <c r="B57" s="184" t="s">
        <v>118</v>
      </c>
      <c r="C57" s="185">
        <f>104.78/5.66</f>
        <v>18.512367491166078</v>
      </c>
      <c r="D57" s="170"/>
      <c r="E57" s="169"/>
      <c r="F57" s="169"/>
      <c r="G57" s="169"/>
      <c r="H57" s="169"/>
      <c r="I57" s="170"/>
      <c r="J57" s="170"/>
      <c r="K57" s="170"/>
    </row>
    <row r="58" spans="2:11" s="182" customFormat="1" ht="16.5" x14ac:dyDescent="0.3">
      <c r="B58" s="184" t="s">
        <v>119</v>
      </c>
      <c r="C58" s="185">
        <f>59.85/5.66</f>
        <v>10.574204946996467</v>
      </c>
      <c r="D58" s="170"/>
      <c r="E58" s="169"/>
      <c r="F58" s="169"/>
      <c r="G58" s="169"/>
      <c r="H58" s="169"/>
      <c r="I58" s="170"/>
      <c r="J58" s="170"/>
      <c r="K58" s="170"/>
    </row>
    <row r="59" spans="2:11" ht="16.5" x14ac:dyDescent="0.3">
      <c r="B59" s="184" t="s">
        <v>117</v>
      </c>
      <c r="C59" s="185">
        <f>1930/5.66</f>
        <v>340.98939929328623</v>
      </c>
      <c r="D59" s="46"/>
      <c r="E59" s="169"/>
      <c r="F59" s="169"/>
      <c r="G59" s="169"/>
      <c r="H59" s="169"/>
      <c r="I59" s="170"/>
      <c r="J59" s="170"/>
      <c r="K59" s="170"/>
    </row>
    <row r="60" spans="2:11" ht="16.5" x14ac:dyDescent="0.3">
      <c r="B60" s="184" t="s">
        <v>117</v>
      </c>
      <c r="C60" s="185">
        <f>4998/5.66</f>
        <v>883.03886925795052</v>
      </c>
      <c r="D60" s="46"/>
      <c r="E60" s="169"/>
      <c r="F60" s="169"/>
      <c r="G60" s="169"/>
      <c r="H60" s="169"/>
      <c r="I60" s="170"/>
      <c r="J60" s="170"/>
      <c r="K60" s="170"/>
    </row>
    <row r="61" spans="2:11" ht="16.5" x14ac:dyDescent="0.3">
      <c r="B61" s="184" t="s">
        <v>117</v>
      </c>
      <c r="C61" s="185">
        <f>7690/5.66</f>
        <v>1358.6572438162543</v>
      </c>
      <c r="D61" s="46"/>
      <c r="E61" s="169"/>
      <c r="F61" s="169"/>
      <c r="G61" s="169"/>
      <c r="H61" s="169"/>
      <c r="I61" s="170"/>
      <c r="J61" s="170"/>
      <c r="K61" s="170"/>
    </row>
    <row r="62" spans="2:11" ht="16.5" x14ac:dyDescent="0.3">
      <c r="B62" s="184" t="s">
        <v>117</v>
      </c>
      <c r="C62" s="185">
        <f>7280.43/5.66</f>
        <v>1286.2950530035337</v>
      </c>
      <c r="D62" s="46"/>
      <c r="E62" s="169"/>
      <c r="F62" s="169"/>
      <c r="G62" s="169"/>
      <c r="H62" s="169"/>
      <c r="I62" s="170"/>
      <c r="J62" s="170"/>
      <c r="K62" s="170"/>
    </row>
    <row r="63" spans="2:11" ht="16.5" x14ac:dyDescent="0.3">
      <c r="B63" s="184" t="s">
        <v>117</v>
      </c>
      <c r="C63" s="185">
        <f>2887.5/5.66</f>
        <v>510.15901060070672</v>
      </c>
      <c r="D63" s="46"/>
      <c r="E63" s="169"/>
      <c r="F63" s="169"/>
      <c r="G63" s="169"/>
      <c r="H63" s="169"/>
      <c r="I63" s="170"/>
      <c r="J63" s="170"/>
      <c r="K63" s="170"/>
    </row>
    <row r="64" spans="2:11" ht="16.5" x14ac:dyDescent="0.3">
      <c r="B64" s="184" t="s">
        <v>117</v>
      </c>
      <c r="C64" s="185">
        <f>5050/5.66</f>
        <v>892.22614840989399</v>
      </c>
      <c r="D64" s="46"/>
      <c r="E64" s="169"/>
      <c r="F64" s="169"/>
      <c r="G64" s="169"/>
      <c r="H64" s="169"/>
      <c r="I64" s="170"/>
      <c r="J64" s="170"/>
      <c r="K64" s="170"/>
    </row>
    <row r="65" spans="2:11" ht="16.5" x14ac:dyDescent="0.3">
      <c r="B65" s="184" t="s">
        <v>120</v>
      </c>
      <c r="C65" s="185">
        <f>6335/5.66</f>
        <v>1119.2579505300353</v>
      </c>
      <c r="D65" s="46"/>
      <c r="E65" s="169"/>
      <c r="F65" s="169"/>
      <c r="G65" s="169"/>
      <c r="H65" s="169"/>
      <c r="I65" s="170"/>
      <c r="J65" s="170"/>
      <c r="K65" s="170"/>
    </row>
    <row r="66" spans="2:11" ht="16.5" x14ac:dyDescent="0.3">
      <c r="B66" s="184" t="s">
        <v>122</v>
      </c>
      <c r="C66" s="185">
        <f>4683/5.66</f>
        <v>827.38515901060066</v>
      </c>
      <c r="D66" s="46"/>
      <c r="E66" s="169"/>
      <c r="F66" s="169"/>
      <c r="G66" s="169"/>
      <c r="H66" s="169"/>
      <c r="I66" s="170"/>
      <c r="J66" s="170"/>
      <c r="K66" s="170"/>
    </row>
    <row r="67" spans="2:11" ht="16.5" x14ac:dyDescent="0.3">
      <c r="B67" s="184" t="s">
        <v>121</v>
      </c>
      <c r="C67" s="185">
        <f>4100/5.66</f>
        <v>724.38162544169609</v>
      </c>
      <c r="D67" s="46"/>
      <c r="E67" s="169"/>
      <c r="F67" s="169"/>
      <c r="G67" s="169"/>
      <c r="H67" s="169"/>
      <c r="I67" s="170"/>
      <c r="J67" s="170"/>
      <c r="K67" s="170"/>
    </row>
    <row r="68" spans="2:11" ht="16.5" x14ac:dyDescent="0.3">
      <c r="B68" s="184" t="s">
        <v>123</v>
      </c>
      <c r="C68" s="185">
        <f>3655/5.66</f>
        <v>645.7597173144876</v>
      </c>
      <c r="D68" s="46"/>
      <c r="E68" s="169"/>
      <c r="F68" s="169"/>
      <c r="G68" s="169"/>
      <c r="H68" s="169"/>
      <c r="I68" s="170"/>
      <c r="J68" s="170"/>
      <c r="K68" s="170"/>
    </row>
    <row r="69" spans="2:11" ht="16.5" x14ac:dyDescent="0.3">
      <c r="B69" s="184" t="s">
        <v>123</v>
      </c>
      <c r="C69" s="185">
        <f>6758.85/5.66</f>
        <v>1194.143109540636</v>
      </c>
      <c r="D69" s="46"/>
      <c r="E69" s="169"/>
      <c r="F69" s="169"/>
      <c r="G69" s="169"/>
      <c r="H69" s="169"/>
      <c r="I69" s="170"/>
      <c r="J69" s="170"/>
      <c r="K69" s="170"/>
    </row>
    <row r="70" spans="2:11" ht="16.5" x14ac:dyDescent="0.3">
      <c r="B70" s="184" t="s">
        <v>123</v>
      </c>
      <c r="C70" s="185">
        <f>4491/5.66</f>
        <v>793.46289752650171</v>
      </c>
      <c r="D70" s="46"/>
      <c r="E70" s="169"/>
      <c r="F70" s="169"/>
      <c r="G70" s="169"/>
      <c r="H70" s="169"/>
      <c r="I70" s="170"/>
      <c r="J70" s="170"/>
      <c r="K70" s="170"/>
    </row>
    <row r="71" spans="2:11" ht="16.5" x14ac:dyDescent="0.3">
      <c r="B71" s="184" t="s">
        <v>123</v>
      </c>
      <c r="C71" s="185">
        <f>5545.05/5.66</f>
        <v>979.69081272084804</v>
      </c>
      <c r="D71" s="46"/>
      <c r="E71" s="169"/>
      <c r="F71" s="169"/>
      <c r="G71" s="169"/>
      <c r="H71" s="169"/>
      <c r="I71" s="170"/>
      <c r="J71" s="170"/>
      <c r="K71" s="170"/>
    </row>
    <row r="72" spans="2:11" ht="16.5" x14ac:dyDescent="0.3">
      <c r="B72" s="184" t="s">
        <v>123</v>
      </c>
      <c r="C72" s="185">
        <f>5218.5/5.66</f>
        <v>921.99646643109543</v>
      </c>
      <c r="D72" s="46"/>
      <c r="E72" s="169"/>
      <c r="F72" s="169"/>
      <c r="G72" s="169"/>
      <c r="H72" s="169"/>
      <c r="I72" s="170"/>
      <c r="J72" s="170"/>
      <c r="K72" s="170"/>
    </row>
    <row r="73" spans="2:11" ht="16.5" x14ac:dyDescent="0.3">
      <c r="B73" s="184" t="s">
        <v>123</v>
      </c>
      <c r="C73" s="185">
        <f>7171/5.66</f>
        <v>1266.9611307420494</v>
      </c>
      <c r="D73" s="46"/>
      <c r="E73" s="169"/>
      <c r="F73" s="169"/>
      <c r="G73" s="169"/>
      <c r="H73" s="169"/>
      <c r="I73" s="170"/>
      <c r="J73" s="170"/>
      <c r="K73" s="170"/>
    </row>
    <row r="74" spans="2:11" ht="16.5" x14ac:dyDescent="0.3">
      <c r="B74" s="184" t="s">
        <v>123</v>
      </c>
      <c r="C74" s="185">
        <f>3399/5.66</f>
        <v>600.53003533568904</v>
      </c>
      <c r="D74" s="46"/>
      <c r="E74" s="169"/>
      <c r="F74" s="169"/>
      <c r="G74" s="169"/>
      <c r="H74" s="169"/>
      <c r="I74" s="170"/>
      <c r="J74" s="170"/>
      <c r="K74" s="170"/>
    </row>
    <row r="75" spans="2:11" ht="16.5" x14ac:dyDescent="0.3">
      <c r="B75" s="184" t="s">
        <v>124</v>
      </c>
      <c r="C75" s="185">
        <f>11540/5.66</f>
        <v>2038.86925795053</v>
      </c>
      <c r="D75" s="46"/>
      <c r="E75" s="169"/>
      <c r="F75" s="169"/>
      <c r="G75" s="169"/>
      <c r="H75" s="169"/>
      <c r="I75" s="170"/>
      <c r="J75" s="170"/>
      <c r="K75" s="170"/>
    </row>
    <row r="76" spans="2:11" ht="16.5" x14ac:dyDescent="0.3">
      <c r="B76" s="184" t="s">
        <v>124</v>
      </c>
      <c r="C76" s="185">
        <f>10631.25/5.66</f>
        <v>1878.3127208480564</v>
      </c>
      <c r="D76" s="46"/>
      <c r="E76" s="169"/>
      <c r="F76" s="169"/>
      <c r="G76" s="169"/>
      <c r="H76" s="169"/>
      <c r="I76" s="170"/>
      <c r="J76" s="170"/>
      <c r="K76" s="170"/>
    </row>
    <row r="77" spans="2:11" ht="16.5" x14ac:dyDescent="0.3">
      <c r="B77" s="184" t="s">
        <v>124</v>
      </c>
      <c r="C77" s="185">
        <f>14430/5.66</f>
        <v>2549.4699646643107</v>
      </c>
      <c r="D77" s="46"/>
      <c r="E77" s="169"/>
      <c r="F77" s="169"/>
      <c r="G77" s="169"/>
      <c r="H77" s="169"/>
      <c r="I77" s="170"/>
      <c r="J77" s="170"/>
      <c r="K77" s="170"/>
    </row>
    <row r="78" spans="2:11" ht="16.5" x14ac:dyDescent="0.3">
      <c r="B78" s="184" t="s">
        <v>124</v>
      </c>
      <c r="C78" s="185">
        <f>10865/5.66</f>
        <v>1919.6113074204945</v>
      </c>
      <c r="D78" s="46"/>
      <c r="E78" s="169"/>
      <c r="F78" s="169"/>
      <c r="G78" s="169"/>
      <c r="H78" s="169"/>
      <c r="I78" s="170"/>
      <c r="J78" s="170"/>
      <c r="K78" s="170"/>
    </row>
    <row r="79" spans="2:11" ht="16.5" x14ac:dyDescent="0.3">
      <c r="B79" s="184" t="s">
        <v>124</v>
      </c>
      <c r="C79" s="185">
        <f>8650/5.66</f>
        <v>1528.2685512367491</v>
      </c>
      <c r="D79" s="46"/>
      <c r="E79" s="169"/>
      <c r="F79" s="169"/>
      <c r="G79" s="169"/>
      <c r="H79" s="169"/>
      <c r="I79" s="170"/>
      <c r="J79" s="170"/>
      <c r="K79" s="170"/>
    </row>
    <row r="80" spans="2:11" ht="16.5" x14ac:dyDescent="0.3">
      <c r="B80" s="184" t="s">
        <v>125</v>
      </c>
      <c r="C80" s="185">
        <f>4708.2/5.66</f>
        <v>831.83745583038865</v>
      </c>
      <c r="D80" s="46"/>
      <c r="E80" s="169"/>
      <c r="F80" s="169"/>
      <c r="G80" s="169"/>
      <c r="H80" s="169"/>
      <c r="I80" s="170"/>
      <c r="J80" s="170"/>
      <c r="K80" s="170"/>
    </row>
    <row r="81" spans="2:11" ht="16.5" x14ac:dyDescent="0.3">
      <c r="B81" s="184" t="s">
        <v>125</v>
      </c>
      <c r="C81" s="185">
        <f>4060/5.66</f>
        <v>717.31448763250887</v>
      </c>
      <c r="D81" s="46"/>
      <c r="E81" s="169"/>
      <c r="F81" s="169"/>
      <c r="G81" s="169"/>
      <c r="H81" s="169"/>
      <c r="I81" s="170"/>
      <c r="J81" s="170"/>
      <c r="K81" s="170"/>
    </row>
    <row r="82" spans="2:11" ht="16.5" x14ac:dyDescent="0.3">
      <c r="B82" s="184" t="s">
        <v>125</v>
      </c>
      <c r="C82" s="185">
        <f>4725/5.66</f>
        <v>834.80565371024738</v>
      </c>
      <c r="D82" s="46"/>
      <c r="E82" s="169"/>
      <c r="F82" s="169"/>
      <c r="G82" s="169"/>
      <c r="H82" s="169"/>
      <c r="I82" s="170"/>
      <c r="J82" s="170"/>
      <c r="K82" s="170"/>
    </row>
    <row r="83" spans="2:11" ht="16.5" x14ac:dyDescent="0.3">
      <c r="B83" s="184" t="s">
        <v>125</v>
      </c>
      <c r="C83" s="185">
        <f>1890/5.66</f>
        <v>333.92226148409895</v>
      </c>
      <c r="D83" s="46"/>
      <c r="E83" s="169"/>
      <c r="F83" s="169"/>
      <c r="G83" s="169"/>
      <c r="H83" s="169"/>
      <c r="I83" s="170"/>
      <c r="J83" s="170"/>
      <c r="K83" s="170"/>
    </row>
    <row r="84" spans="2:11" ht="16.5" x14ac:dyDescent="0.3">
      <c r="B84" s="184" t="s">
        <v>125</v>
      </c>
      <c r="C84" s="185">
        <f>5127/5.66</f>
        <v>905.8303886925795</v>
      </c>
      <c r="D84" s="46"/>
      <c r="E84" s="169"/>
      <c r="F84" s="169"/>
      <c r="G84" s="169"/>
      <c r="H84" s="169"/>
      <c r="I84" s="170"/>
      <c r="J84" s="170"/>
      <c r="K84" s="170"/>
    </row>
    <row r="85" spans="2:11" ht="16.5" x14ac:dyDescent="0.3">
      <c r="B85" s="184" t="s">
        <v>125</v>
      </c>
      <c r="C85" s="185">
        <f>14645.45/5.66</f>
        <v>2587.535335689046</v>
      </c>
      <c r="D85" s="46"/>
      <c r="E85" s="169"/>
      <c r="F85" s="169"/>
      <c r="G85" s="169"/>
      <c r="H85" s="169"/>
      <c r="I85" s="170"/>
      <c r="J85" s="170"/>
      <c r="K85" s="170"/>
    </row>
    <row r="86" spans="2:11" ht="16.5" x14ac:dyDescent="0.3">
      <c r="B86" s="184" t="s">
        <v>125</v>
      </c>
      <c r="C86" s="185">
        <f>15993.6/5.66</f>
        <v>2825.7243816254418</v>
      </c>
      <c r="D86" s="46"/>
      <c r="E86" s="169"/>
      <c r="F86" s="169"/>
      <c r="G86" s="169"/>
      <c r="H86" s="169"/>
      <c r="I86" s="170"/>
      <c r="J86" s="170"/>
      <c r="K86" s="170"/>
    </row>
    <row r="87" spans="2:11" ht="16.5" x14ac:dyDescent="0.3">
      <c r="B87" s="184" t="s">
        <v>126</v>
      </c>
      <c r="C87" s="185">
        <f>4223/5.66</f>
        <v>746.113074204947</v>
      </c>
      <c r="D87" s="46"/>
      <c r="E87" s="169"/>
      <c r="F87" s="169"/>
      <c r="G87" s="169"/>
      <c r="H87" s="169"/>
      <c r="I87" s="170"/>
      <c r="J87" s="170"/>
      <c r="K87" s="170"/>
    </row>
    <row r="88" spans="2:11" ht="16.5" x14ac:dyDescent="0.3">
      <c r="B88" s="184" t="s">
        <v>126</v>
      </c>
      <c r="C88" s="185">
        <f>7317/5.66</f>
        <v>1292.756183745583</v>
      </c>
      <c r="D88" s="46"/>
      <c r="E88" s="169"/>
      <c r="F88" s="169"/>
      <c r="G88" s="169"/>
      <c r="H88" s="169"/>
      <c r="I88" s="170"/>
      <c r="J88" s="170"/>
      <c r="K88" s="170"/>
    </row>
    <row r="89" spans="2:11" ht="16.5" x14ac:dyDescent="0.3">
      <c r="B89" s="184" t="s">
        <v>127</v>
      </c>
      <c r="C89" s="185">
        <f>1000/5.66</f>
        <v>176.67844522968198</v>
      </c>
      <c r="D89" s="46"/>
      <c r="E89" s="169"/>
      <c r="F89" s="169"/>
      <c r="G89" s="169"/>
      <c r="H89" s="169"/>
      <c r="I89" s="170"/>
      <c r="J89" s="170"/>
      <c r="K89" s="170"/>
    </row>
    <row r="90" spans="2:11" ht="16.5" x14ac:dyDescent="0.3">
      <c r="B90" s="184" t="s">
        <v>128</v>
      </c>
      <c r="C90" s="185">
        <f>8492/5.66</f>
        <v>1500.3533568904593</v>
      </c>
      <c r="D90" s="46"/>
      <c r="E90" s="169"/>
      <c r="F90" s="169"/>
      <c r="G90" s="169"/>
      <c r="H90" s="169"/>
      <c r="I90" s="170"/>
      <c r="J90" s="170"/>
      <c r="K90" s="170"/>
    </row>
    <row r="91" spans="2:11" ht="16.5" x14ac:dyDescent="0.3">
      <c r="B91" s="184" t="s">
        <v>127</v>
      </c>
      <c r="C91" s="185">
        <f>10000/5.66</f>
        <v>1766.7844522968198</v>
      </c>
      <c r="D91" s="46"/>
      <c r="E91" s="169"/>
      <c r="F91" s="169"/>
      <c r="G91" s="169"/>
      <c r="H91" s="169"/>
      <c r="I91" s="170"/>
      <c r="J91" s="170"/>
      <c r="K91" s="170"/>
    </row>
    <row r="92" spans="2:11" ht="16.5" x14ac:dyDescent="0.3">
      <c r="B92" s="184" t="s">
        <v>129</v>
      </c>
      <c r="C92" s="185">
        <f>1300/5.66</f>
        <v>229.68197879858656</v>
      </c>
      <c r="D92" s="46"/>
      <c r="E92" s="169"/>
      <c r="F92" s="169"/>
      <c r="G92" s="169"/>
      <c r="H92" s="169"/>
      <c r="I92" s="170"/>
      <c r="J92" s="170"/>
      <c r="K92" s="170"/>
    </row>
    <row r="93" spans="2:11" ht="16.5" x14ac:dyDescent="0.3">
      <c r="B93" s="184" t="s">
        <v>129</v>
      </c>
      <c r="C93" s="185">
        <f>20109.6/5.66</f>
        <v>3552.9328621908126</v>
      </c>
      <c r="D93" s="46"/>
      <c r="E93" s="169"/>
      <c r="F93" s="169"/>
      <c r="G93" s="169"/>
      <c r="H93" s="169"/>
      <c r="I93" s="170"/>
      <c r="J93" s="170"/>
      <c r="K93" s="170"/>
    </row>
    <row r="94" spans="2:11" s="182" customFormat="1" ht="16.5" x14ac:dyDescent="0.3">
      <c r="B94" s="189" t="s">
        <v>163</v>
      </c>
      <c r="C94" s="193">
        <v>7000</v>
      </c>
      <c r="D94" s="170"/>
      <c r="E94" s="169"/>
      <c r="F94" s="169"/>
      <c r="G94" s="169"/>
      <c r="H94" s="169"/>
      <c r="I94" s="170"/>
      <c r="J94" s="170"/>
      <c r="K94" s="170"/>
    </row>
    <row r="95" spans="2:11" ht="16.5" x14ac:dyDescent="0.3">
      <c r="B95" s="184"/>
      <c r="C95" s="185"/>
      <c r="D95" s="46"/>
      <c r="E95" s="169"/>
      <c r="F95" s="169"/>
      <c r="G95" s="169"/>
      <c r="H95" s="169"/>
      <c r="I95" s="170"/>
      <c r="J95" s="170"/>
      <c r="K95" s="170"/>
    </row>
    <row r="96" spans="2:11" x14ac:dyDescent="0.2">
      <c r="B96" s="46"/>
      <c r="C96" s="171"/>
      <c r="D96" s="171"/>
      <c r="E96" s="169"/>
      <c r="F96" s="169"/>
      <c r="G96" s="169"/>
      <c r="H96" s="169"/>
      <c r="I96" s="170"/>
      <c r="J96" s="170"/>
      <c r="K96" s="170"/>
    </row>
    <row r="97" spans="2:11" ht="13.5" thickBot="1" x14ac:dyDescent="0.25">
      <c r="B97" s="62"/>
      <c r="C97" s="171"/>
      <c r="D97" s="171"/>
      <c r="E97" s="169"/>
      <c r="F97" s="169"/>
      <c r="G97" s="169"/>
      <c r="H97" s="169"/>
      <c r="I97" s="170"/>
      <c r="J97" s="170"/>
      <c r="K97" s="170"/>
    </row>
    <row r="98" spans="2:11" ht="13.5" thickBot="1" x14ac:dyDescent="0.25">
      <c r="B98" s="58" t="s">
        <v>16</v>
      </c>
      <c r="C98" s="38">
        <f>SUM(C51:C97)</f>
        <v>53176.219081272095</v>
      </c>
      <c r="D98" s="39">
        <f>SUM(D51:D97)</f>
        <v>0</v>
      </c>
      <c r="E98" s="39">
        <f>SUM(E51:E95)</f>
        <v>0</v>
      </c>
      <c r="F98" s="172"/>
      <c r="G98" s="172"/>
      <c r="H98" s="172"/>
      <c r="I98" s="173"/>
      <c r="J98" s="174"/>
      <c r="K98" s="174"/>
    </row>
    <row r="99" spans="2:11" x14ac:dyDescent="0.2">
      <c r="B99" s="18"/>
      <c r="C99" s="40"/>
      <c r="D99" s="40"/>
      <c r="E99" s="40"/>
      <c r="F99" s="40"/>
      <c r="G99" s="40"/>
      <c r="H99" s="40"/>
      <c r="I99" s="18"/>
      <c r="J99" s="18"/>
      <c r="K99" s="18"/>
    </row>
    <row r="100" spans="2:11" x14ac:dyDescent="0.2">
      <c r="B100" s="15" t="s">
        <v>31</v>
      </c>
      <c r="C100" s="41"/>
      <c r="D100" s="41"/>
      <c r="E100" s="41"/>
      <c r="F100" s="60"/>
      <c r="G100" s="60"/>
      <c r="H100" s="60"/>
      <c r="I100" s="46"/>
      <c r="J100" s="46"/>
      <c r="K100" s="46"/>
    </row>
    <row r="101" spans="2:11" x14ac:dyDescent="0.2">
      <c r="B101" s="54"/>
      <c r="C101" s="98"/>
      <c r="D101" s="98"/>
      <c r="E101" s="57"/>
      <c r="F101" s="57"/>
      <c r="G101" s="57"/>
      <c r="H101" s="60"/>
      <c r="I101" s="46"/>
      <c r="J101" s="46"/>
      <c r="K101" s="46"/>
    </row>
    <row r="102" spans="2:11" x14ac:dyDescent="0.2">
      <c r="B102" s="46"/>
      <c r="C102" s="57"/>
      <c r="D102" s="57"/>
      <c r="E102" s="57"/>
      <c r="F102" s="57"/>
      <c r="G102" s="57"/>
      <c r="H102" s="60"/>
      <c r="I102" s="46"/>
      <c r="J102" s="46"/>
      <c r="K102" s="46"/>
    </row>
    <row r="103" spans="2:11" x14ac:dyDescent="0.2">
      <c r="B103" s="46"/>
      <c r="C103" s="57"/>
      <c r="D103" s="57"/>
      <c r="E103" s="57"/>
      <c r="F103" s="57"/>
      <c r="G103" s="57"/>
      <c r="H103" s="60"/>
      <c r="I103" s="46"/>
      <c r="J103" s="46"/>
      <c r="K103" s="46"/>
    </row>
    <row r="104" spans="2:11" x14ac:dyDescent="0.2">
      <c r="B104" s="46"/>
      <c r="C104" s="57"/>
      <c r="D104" s="57"/>
      <c r="E104" s="57"/>
      <c r="F104" s="57"/>
      <c r="G104" s="57"/>
      <c r="H104" s="60"/>
      <c r="I104" s="46"/>
      <c r="J104" s="46"/>
      <c r="K104" s="46"/>
    </row>
    <row r="105" spans="2:11" x14ac:dyDescent="0.2">
      <c r="B105" s="46"/>
      <c r="C105" s="57"/>
      <c r="D105" s="57"/>
      <c r="E105" s="57"/>
      <c r="F105" s="57"/>
      <c r="G105" s="57"/>
      <c r="H105" s="60"/>
      <c r="I105" s="46"/>
      <c r="J105" s="46"/>
      <c r="K105" s="46"/>
    </row>
    <row r="106" spans="2:11" x14ac:dyDescent="0.2">
      <c r="B106" s="46"/>
      <c r="C106" s="57"/>
      <c r="D106" s="57"/>
      <c r="E106" s="57"/>
      <c r="F106" s="57"/>
      <c r="G106" s="57"/>
      <c r="H106" s="60"/>
      <c r="I106" s="46"/>
      <c r="J106" s="46"/>
      <c r="K106" s="46"/>
    </row>
    <row r="107" spans="2:11" ht="13.5" thickBot="1" x14ac:dyDescent="0.25">
      <c r="B107" s="56"/>
      <c r="C107" s="57"/>
      <c r="D107" s="57"/>
      <c r="E107" s="57"/>
      <c r="F107" s="60"/>
      <c r="G107" s="60"/>
      <c r="H107" s="60"/>
      <c r="I107" s="46"/>
      <c r="J107" s="46"/>
      <c r="K107" s="46"/>
    </row>
    <row r="108" spans="2:11" ht="13.5" thickBot="1" x14ac:dyDescent="0.25">
      <c r="B108" s="58" t="s">
        <v>16</v>
      </c>
      <c r="C108" s="61">
        <f>SUM(C101:C106)</f>
        <v>0</v>
      </c>
      <c r="D108" s="61">
        <f>SUM(D101:D107)</f>
        <v>0</v>
      </c>
      <c r="E108" s="61">
        <f>SUM(E101:E106)</f>
        <v>0</v>
      </c>
      <c r="F108" s="61">
        <f>SUM(F101:F103)</f>
        <v>0</v>
      </c>
      <c r="G108" s="39">
        <f>SUM(G101:G103)</f>
        <v>0</v>
      </c>
      <c r="H108" s="172"/>
      <c r="I108" s="173"/>
      <c r="J108" s="174"/>
      <c r="K108" s="174"/>
    </row>
    <row r="109" spans="2:11" x14ac:dyDescent="0.2">
      <c r="B109" s="18"/>
      <c r="C109" s="40"/>
      <c r="D109" s="40"/>
      <c r="E109" s="40"/>
      <c r="F109" s="40"/>
      <c r="G109" s="40"/>
      <c r="H109" s="40"/>
      <c r="I109" s="18"/>
      <c r="J109" s="18"/>
      <c r="K109" s="18"/>
    </row>
    <row r="110" spans="2:11" x14ac:dyDescent="0.2">
      <c r="B110" s="15" t="s">
        <v>32</v>
      </c>
      <c r="C110" s="41"/>
      <c r="D110" s="41"/>
      <c r="E110" s="41"/>
      <c r="F110" s="60"/>
      <c r="G110" s="60"/>
      <c r="H110" s="60"/>
      <c r="I110" s="46"/>
      <c r="J110" s="46"/>
      <c r="K110" s="156"/>
    </row>
    <row r="111" spans="2:11" x14ac:dyDescent="0.2">
      <c r="B111" s="46" t="s">
        <v>130</v>
      </c>
      <c r="C111" s="57">
        <f>3600/5.66</f>
        <v>636.0424028268551</v>
      </c>
      <c r="D111" s="46"/>
      <c r="E111" s="41"/>
      <c r="F111" s="57"/>
      <c r="G111" s="57"/>
      <c r="H111" s="41"/>
      <c r="I111" s="46"/>
      <c r="J111" s="46"/>
      <c r="K111" s="156"/>
    </row>
    <row r="112" spans="2:11" x14ac:dyDescent="0.2">
      <c r="B112" s="46"/>
      <c r="C112" s="57"/>
      <c r="D112" s="46"/>
      <c r="E112" s="41"/>
      <c r="F112" s="57"/>
      <c r="G112" s="57"/>
      <c r="H112" s="41"/>
      <c r="I112" s="46"/>
      <c r="J112" s="46"/>
      <c r="K112" s="156"/>
    </row>
    <row r="113" spans="2:11" ht="16.5" x14ac:dyDescent="0.3">
      <c r="B113" s="184"/>
      <c r="C113" s="185"/>
      <c r="D113" s="46"/>
      <c r="E113" s="41"/>
      <c r="F113" s="57"/>
      <c r="G113" s="57"/>
      <c r="H113" s="41"/>
      <c r="I113" s="46"/>
      <c r="J113" s="46"/>
      <c r="K113" s="156"/>
    </row>
    <row r="114" spans="2:11" ht="16.5" x14ac:dyDescent="0.3">
      <c r="B114" s="184"/>
      <c r="C114" s="185"/>
      <c r="D114" s="46"/>
      <c r="E114" s="41"/>
      <c r="F114" s="57"/>
      <c r="G114" s="57"/>
      <c r="H114" s="41"/>
      <c r="I114" s="46"/>
      <c r="J114" s="46"/>
      <c r="K114" s="156"/>
    </row>
    <row r="115" spans="2:11" ht="13.5" thickBot="1" x14ac:dyDescent="0.25">
      <c r="B115" s="56"/>
      <c r="C115" s="41"/>
      <c r="D115" s="41"/>
      <c r="E115" s="41"/>
      <c r="F115" s="60"/>
      <c r="G115" s="60"/>
      <c r="H115" s="60"/>
      <c r="I115" s="46"/>
      <c r="J115" s="46"/>
      <c r="K115" s="156"/>
    </row>
    <row r="116" spans="2:11" ht="13.5" thickBot="1" x14ac:dyDescent="0.25">
      <c r="B116" s="58" t="s">
        <v>16</v>
      </c>
      <c r="C116" s="39">
        <f>SUM(C111:C115)</f>
        <v>636.0424028268551</v>
      </c>
      <c r="D116" s="39">
        <f>SUM(D111:D115)</f>
        <v>0</v>
      </c>
      <c r="E116" s="39">
        <f>SUM(E111)</f>
        <v>0</v>
      </c>
      <c r="F116" s="39">
        <f>SUM(F111)</f>
        <v>0</v>
      </c>
      <c r="G116" s="39">
        <f>SUM(G111)</f>
        <v>0</v>
      </c>
      <c r="H116" s="172">
        <f>F116-G116</f>
        <v>0</v>
      </c>
      <c r="I116" s="173"/>
      <c r="J116" s="174"/>
      <c r="K116" s="174"/>
    </row>
    <row r="117" spans="2:11" x14ac:dyDescent="0.2">
      <c r="B117" s="18"/>
      <c r="C117" s="40"/>
      <c r="D117" s="40"/>
      <c r="E117" s="40"/>
      <c r="F117" s="40"/>
      <c r="G117" s="40"/>
      <c r="H117" s="40"/>
      <c r="I117" s="18"/>
      <c r="J117" s="18"/>
      <c r="K117" s="18"/>
    </row>
    <row r="118" spans="2:11" x14ac:dyDescent="0.2">
      <c r="B118" s="15" t="s">
        <v>33</v>
      </c>
      <c r="C118" s="186"/>
      <c r="D118" s="186"/>
      <c r="E118" s="41"/>
      <c r="F118" s="60"/>
      <c r="G118" s="60"/>
      <c r="H118" s="60"/>
      <c r="I118" s="46"/>
      <c r="J118" s="46"/>
      <c r="K118" s="156"/>
    </row>
    <row r="119" spans="2:11" ht="16.5" x14ac:dyDescent="0.3">
      <c r="B119" s="184" t="s">
        <v>131</v>
      </c>
      <c r="C119" s="185">
        <f>1000/5.66</f>
        <v>176.67844522968198</v>
      </c>
      <c r="D119" s="46"/>
      <c r="E119" s="41"/>
      <c r="F119" s="57"/>
      <c r="G119" s="57"/>
      <c r="H119" s="41"/>
      <c r="I119" s="46"/>
      <c r="J119" s="46"/>
      <c r="K119" s="156"/>
    </row>
    <row r="120" spans="2:11" ht="16.5" x14ac:dyDescent="0.3">
      <c r="B120" s="184" t="s">
        <v>132</v>
      </c>
      <c r="C120" s="185">
        <f>550/5.66</f>
        <v>97.173144876325082</v>
      </c>
      <c r="D120" s="46"/>
      <c r="E120" s="41"/>
      <c r="F120" s="57"/>
      <c r="G120" s="57"/>
      <c r="H120" s="41"/>
      <c r="I120" s="46"/>
      <c r="J120" s="46"/>
      <c r="K120" s="156"/>
    </row>
    <row r="121" spans="2:11" ht="16.5" x14ac:dyDescent="0.3">
      <c r="B121" s="184" t="s">
        <v>133</v>
      </c>
      <c r="C121" s="185">
        <f>675.25/5.66</f>
        <v>119.30212014134275</v>
      </c>
      <c r="D121" s="46"/>
      <c r="E121" s="41"/>
      <c r="F121" s="57"/>
      <c r="G121" s="57"/>
      <c r="H121" s="41"/>
      <c r="I121" s="46"/>
      <c r="J121" s="46"/>
      <c r="K121" s="156"/>
    </row>
    <row r="122" spans="2:11" ht="16.5" x14ac:dyDescent="0.3">
      <c r="B122" s="184" t="s">
        <v>133</v>
      </c>
      <c r="C122" s="185">
        <f>10043.44/5.66</f>
        <v>1774.4593639575971</v>
      </c>
      <c r="D122" s="46"/>
      <c r="E122" s="41"/>
      <c r="F122" s="57"/>
      <c r="G122" s="57"/>
      <c r="H122" s="41"/>
      <c r="I122" s="46"/>
      <c r="J122" s="46"/>
      <c r="K122" s="156"/>
    </row>
    <row r="123" spans="2:11" ht="16.5" x14ac:dyDescent="0.3">
      <c r="B123" s="184" t="s">
        <v>133</v>
      </c>
      <c r="C123" s="185">
        <f>1632.44/5.66</f>
        <v>288.41696113074204</v>
      </c>
      <c r="D123" s="46"/>
      <c r="E123" s="41"/>
      <c r="F123" s="57"/>
      <c r="G123" s="57"/>
      <c r="H123" s="41"/>
      <c r="I123" s="46"/>
      <c r="J123" s="46"/>
      <c r="K123" s="156"/>
    </row>
    <row r="124" spans="2:11" ht="16.5" x14ac:dyDescent="0.3">
      <c r="B124" s="184" t="s">
        <v>134</v>
      </c>
      <c r="C124" s="185">
        <f>2911.63/5.66</f>
        <v>514.42226148409895</v>
      </c>
      <c r="D124" s="46"/>
      <c r="E124" s="41"/>
      <c r="F124" s="57"/>
      <c r="G124" s="57"/>
      <c r="H124" s="41"/>
      <c r="I124" s="46"/>
      <c r="J124" s="46"/>
      <c r="K124" s="156"/>
    </row>
    <row r="125" spans="2:11" ht="16.5" x14ac:dyDescent="0.3">
      <c r="B125" s="184" t="s">
        <v>133</v>
      </c>
      <c r="C125" s="185">
        <f>1877.19/5.66</f>
        <v>331.65901060070672</v>
      </c>
      <c r="D125" s="46"/>
      <c r="E125" s="41"/>
      <c r="F125" s="57"/>
      <c r="G125" s="57"/>
      <c r="H125" s="41"/>
      <c r="I125" s="46"/>
      <c r="J125" s="46"/>
      <c r="K125" s="156"/>
    </row>
    <row r="126" spans="2:11" ht="16.5" x14ac:dyDescent="0.3">
      <c r="B126" s="184" t="s">
        <v>135</v>
      </c>
      <c r="C126" s="185">
        <f>48/5.66</f>
        <v>8.4805653710247348</v>
      </c>
      <c r="D126" s="46"/>
      <c r="E126" s="41"/>
      <c r="F126" s="57"/>
      <c r="G126" s="57"/>
      <c r="H126" s="41"/>
      <c r="I126" s="46"/>
      <c r="J126" s="46"/>
      <c r="K126" s="156"/>
    </row>
    <row r="127" spans="2:11" ht="16.5" x14ac:dyDescent="0.3">
      <c r="B127" s="184" t="s">
        <v>155</v>
      </c>
      <c r="C127" s="185">
        <f>1500/5.66</f>
        <v>265.01766784452298</v>
      </c>
      <c r="D127" s="46"/>
      <c r="E127" s="41"/>
      <c r="F127" s="57"/>
      <c r="G127" s="57"/>
      <c r="H127" s="41"/>
      <c r="I127" s="46"/>
      <c r="J127" s="46"/>
      <c r="K127" s="156"/>
    </row>
    <row r="128" spans="2:11" ht="16.5" x14ac:dyDescent="0.3">
      <c r="B128" s="184" t="s">
        <v>156</v>
      </c>
      <c r="C128" s="185">
        <f>850/5.66</f>
        <v>150.17667844522967</v>
      </c>
      <c r="D128" s="46"/>
      <c r="E128" s="41"/>
      <c r="F128" s="57"/>
      <c r="G128" s="57"/>
      <c r="H128" s="41"/>
      <c r="I128" s="46"/>
      <c r="J128" s="46"/>
      <c r="K128" s="156"/>
    </row>
    <row r="129" spans="2:11" ht="16.5" x14ac:dyDescent="0.3">
      <c r="B129" s="185" t="s">
        <v>136</v>
      </c>
      <c r="C129" s="185">
        <f>420/5.66</f>
        <v>74.204946996466433</v>
      </c>
      <c r="D129" s="46"/>
      <c r="E129" s="41"/>
      <c r="F129" s="57"/>
      <c r="G129" s="57"/>
      <c r="H129" s="41"/>
      <c r="I129" s="46"/>
      <c r="J129" s="46"/>
      <c r="K129" s="156"/>
    </row>
    <row r="130" spans="2:11" ht="16.5" x14ac:dyDescent="0.3">
      <c r="B130" s="184" t="s">
        <v>135</v>
      </c>
      <c r="C130" s="185">
        <f>20/5.66</f>
        <v>3.5335689045936394</v>
      </c>
      <c r="D130" s="60"/>
      <c r="E130" s="41"/>
      <c r="F130" s="57"/>
      <c r="G130" s="57"/>
      <c r="H130" s="41"/>
      <c r="I130" s="46"/>
      <c r="J130" s="46"/>
      <c r="K130" s="156"/>
    </row>
    <row r="131" spans="2:11" ht="16.5" x14ac:dyDescent="0.3">
      <c r="B131" s="184" t="s">
        <v>137</v>
      </c>
      <c r="C131" s="185">
        <f>919/5.66</f>
        <v>162.36749116607774</v>
      </c>
      <c r="D131" s="46"/>
      <c r="E131" s="41"/>
      <c r="F131" s="57"/>
      <c r="G131" s="57"/>
      <c r="H131" s="41"/>
      <c r="I131" s="46"/>
      <c r="J131" s="46"/>
      <c r="K131" s="156"/>
    </row>
    <row r="132" spans="2:11" ht="16.5" x14ac:dyDescent="0.3">
      <c r="B132" s="184" t="s">
        <v>138</v>
      </c>
      <c r="C132" s="185">
        <f>475.25/5.66</f>
        <v>83.966431095406364</v>
      </c>
      <c r="D132" s="46"/>
      <c r="E132" s="41"/>
      <c r="F132" s="57"/>
      <c r="G132" s="57"/>
      <c r="H132" s="41"/>
      <c r="I132" s="46"/>
      <c r="J132" s="46"/>
      <c r="K132" s="156"/>
    </row>
    <row r="133" spans="2:11" ht="16.5" x14ac:dyDescent="0.3">
      <c r="B133" s="184" t="s">
        <v>138</v>
      </c>
      <c r="C133" s="185">
        <f>10043.64/5.66</f>
        <v>1774.4946996466429</v>
      </c>
      <c r="D133" s="46"/>
      <c r="E133" s="41"/>
      <c r="F133" s="57"/>
      <c r="G133" s="57"/>
      <c r="H133" s="41"/>
      <c r="I133" s="46"/>
      <c r="J133" s="46"/>
      <c r="K133" s="156"/>
    </row>
    <row r="134" spans="2:11" ht="16.5" x14ac:dyDescent="0.3">
      <c r="B134" s="184" t="s">
        <v>139</v>
      </c>
      <c r="C134" s="185">
        <f>2595.44/5.66</f>
        <v>458.55830388692578</v>
      </c>
      <c r="D134" s="46"/>
      <c r="E134" s="41"/>
      <c r="F134" s="57"/>
      <c r="G134" s="57"/>
      <c r="H134" s="41"/>
      <c r="I134" s="46"/>
      <c r="J134" s="46"/>
      <c r="K134" s="156"/>
    </row>
    <row r="135" spans="2:11" ht="16.5" x14ac:dyDescent="0.3">
      <c r="B135" s="184" t="s">
        <v>138</v>
      </c>
      <c r="C135" s="185">
        <f>1777.19/5.66</f>
        <v>313.99116607773851</v>
      </c>
      <c r="D135" s="46"/>
      <c r="E135" s="41"/>
      <c r="F135" s="57"/>
      <c r="G135" s="57"/>
      <c r="H135" s="41"/>
      <c r="I135" s="46"/>
      <c r="J135" s="46"/>
      <c r="K135" s="156"/>
    </row>
    <row r="136" spans="2:11" ht="16.5" x14ac:dyDescent="0.3">
      <c r="B136" s="184" t="s">
        <v>135</v>
      </c>
      <c r="C136" s="185">
        <f>48/5.66</f>
        <v>8.4805653710247348</v>
      </c>
      <c r="D136" s="46"/>
      <c r="E136" s="41"/>
      <c r="F136" s="57"/>
      <c r="G136" s="57"/>
      <c r="H136" s="41"/>
      <c r="I136" s="46"/>
      <c r="J136" s="46"/>
      <c r="K136" s="156"/>
    </row>
    <row r="137" spans="2:11" ht="16.5" x14ac:dyDescent="0.3">
      <c r="B137" s="184" t="s">
        <v>140</v>
      </c>
      <c r="C137" s="185">
        <f>105/5.66</f>
        <v>18.551236749116608</v>
      </c>
      <c r="D137" s="46"/>
      <c r="E137" s="41"/>
      <c r="F137" s="57"/>
      <c r="G137" s="57"/>
      <c r="H137" s="41"/>
      <c r="I137" s="46"/>
      <c r="J137" s="46"/>
      <c r="K137" s="156"/>
    </row>
    <row r="138" spans="2:11" ht="16.5" x14ac:dyDescent="0.3">
      <c r="B138" s="184" t="s">
        <v>141</v>
      </c>
      <c r="C138" s="185">
        <f>210/5.66</f>
        <v>37.102473498233216</v>
      </c>
      <c r="D138" s="46"/>
      <c r="E138" s="41"/>
      <c r="F138" s="57"/>
      <c r="G138" s="57"/>
      <c r="H138" s="41"/>
      <c r="I138" s="46"/>
      <c r="J138" s="46"/>
      <c r="K138" s="156"/>
    </row>
    <row r="139" spans="2:11" ht="16.5" x14ac:dyDescent="0.3">
      <c r="B139" s="184" t="s">
        <v>142</v>
      </c>
      <c r="C139" s="185">
        <f>984.19/5.66</f>
        <v>173.88515901060072</v>
      </c>
      <c r="D139" s="46"/>
      <c r="E139" s="41"/>
      <c r="F139" s="57"/>
      <c r="G139" s="57"/>
      <c r="H139" s="41"/>
      <c r="I139" s="46"/>
      <c r="J139" s="46"/>
      <c r="K139" s="156"/>
    </row>
    <row r="140" spans="2:11" ht="16.5" x14ac:dyDescent="0.3">
      <c r="B140" s="184" t="s">
        <v>135</v>
      </c>
      <c r="C140" s="185">
        <f>5/5.66</f>
        <v>0.88339222614840984</v>
      </c>
      <c r="D140" s="46"/>
      <c r="E140" s="41"/>
      <c r="F140" s="57"/>
      <c r="G140" s="57"/>
      <c r="H140" s="41"/>
      <c r="I140" s="46"/>
      <c r="J140" s="46"/>
      <c r="K140" s="156"/>
    </row>
    <row r="141" spans="2:11" ht="16.5" x14ac:dyDescent="0.3">
      <c r="B141" s="184" t="s">
        <v>138</v>
      </c>
      <c r="C141" s="185">
        <f>475.25/5.66</f>
        <v>83.966431095406364</v>
      </c>
      <c r="D141" s="46"/>
      <c r="E141" s="41"/>
      <c r="F141" s="57"/>
      <c r="G141" s="57"/>
      <c r="H141" s="41"/>
      <c r="I141" s="46"/>
      <c r="J141" s="46"/>
      <c r="K141" s="156"/>
    </row>
    <row r="142" spans="2:11" ht="16.5" x14ac:dyDescent="0.3">
      <c r="B142" s="184" t="s">
        <v>138</v>
      </c>
      <c r="C142" s="185">
        <f>10043.64/5.66</f>
        <v>1774.4946996466429</v>
      </c>
      <c r="D142" s="46"/>
      <c r="E142" s="41"/>
      <c r="F142" s="57"/>
      <c r="G142" s="57"/>
      <c r="H142" s="41"/>
      <c r="I142" s="46"/>
      <c r="J142" s="46"/>
      <c r="K142" s="156"/>
    </row>
    <row r="143" spans="2:11" ht="16.5" x14ac:dyDescent="0.3">
      <c r="B143" s="184" t="s">
        <v>139</v>
      </c>
      <c r="C143" s="185">
        <f>2595.44/5.66</f>
        <v>458.55830388692578</v>
      </c>
      <c r="D143" s="46"/>
      <c r="E143" s="41"/>
      <c r="F143" s="57"/>
      <c r="G143" s="57"/>
      <c r="H143" s="41"/>
      <c r="I143" s="46"/>
      <c r="J143" s="46"/>
      <c r="K143" s="156"/>
    </row>
    <row r="144" spans="2:11" ht="16.5" x14ac:dyDescent="0.3">
      <c r="B144" s="184" t="s">
        <v>138</v>
      </c>
      <c r="C144" s="185">
        <f>1777.19/5.66</f>
        <v>313.99116607773851</v>
      </c>
      <c r="D144" s="46"/>
      <c r="E144" s="41"/>
      <c r="F144" s="57"/>
      <c r="G144" s="57"/>
      <c r="H144" s="41"/>
      <c r="I144" s="46"/>
      <c r="J144" s="46"/>
      <c r="K144" s="156"/>
    </row>
    <row r="145" spans="2:11" ht="16.5" x14ac:dyDescent="0.3">
      <c r="B145" s="184" t="s">
        <v>135</v>
      </c>
      <c r="C145" s="185">
        <f>155/5.66</f>
        <v>27.385159010600706</v>
      </c>
      <c r="D145" s="46"/>
      <c r="E145" s="41"/>
      <c r="F145" s="57"/>
      <c r="G145" s="57"/>
      <c r="H145" s="41"/>
      <c r="I145" s="46"/>
      <c r="J145" s="46"/>
      <c r="K145" s="156"/>
    </row>
    <row r="146" spans="2:11" ht="16.5" x14ac:dyDescent="0.3">
      <c r="B146" s="184" t="s">
        <v>135</v>
      </c>
      <c r="C146" s="185">
        <f>48/5.66</f>
        <v>8.4805653710247348</v>
      </c>
      <c r="D146" s="57"/>
      <c r="E146" s="41"/>
      <c r="F146" s="57"/>
      <c r="G146" s="57"/>
      <c r="H146" s="41"/>
      <c r="I146" s="46"/>
      <c r="J146" s="46"/>
      <c r="K146" s="156"/>
    </row>
    <row r="147" spans="2:11" s="182" customFormat="1" ht="16.5" x14ac:dyDescent="0.3">
      <c r="B147" s="184" t="s">
        <v>143</v>
      </c>
      <c r="C147" s="185">
        <f>400/5.66</f>
        <v>70.671378091872796</v>
      </c>
      <c r="D147" s="170"/>
      <c r="E147" s="181"/>
      <c r="F147" s="171"/>
      <c r="G147" s="171"/>
      <c r="H147" s="181"/>
      <c r="I147" s="170"/>
      <c r="J147" s="170"/>
      <c r="K147" s="101"/>
    </row>
    <row r="148" spans="2:11" ht="16.5" x14ac:dyDescent="0.3">
      <c r="B148" s="184" t="s">
        <v>144</v>
      </c>
      <c r="C148" s="185">
        <f>951.14/5.66</f>
        <v>168.04593639575972</v>
      </c>
      <c r="D148" s="46"/>
      <c r="E148" s="41"/>
      <c r="F148" s="57"/>
      <c r="G148" s="57"/>
      <c r="H148" s="41"/>
      <c r="I148" s="46"/>
      <c r="J148" s="46"/>
      <c r="K148" s="156"/>
    </row>
    <row r="149" spans="2:11" ht="16.5" x14ac:dyDescent="0.3">
      <c r="B149" s="184" t="s">
        <v>145</v>
      </c>
      <c r="C149" s="185">
        <f>13189.44/5.66</f>
        <v>2330.2897526501765</v>
      </c>
      <c r="D149" s="46"/>
      <c r="E149" s="41"/>
      <c r="F149" s="57"/>
      <c r="G149" s="57"/>
      <c r="H149" s="41"/>
      <c r="I149" s="46"/>
      <c r="J149" s="46"/>
      <c r="K149" s="156"/>
    </row>
    <row r="150" spans="2:11" ht="16.5" x14ac:dyDescent="0.3">
      <c r="B150" s="184" t="s">
        <v>145</v>
      </c>
      <c r="C150" s="185">
        <f>475.25/5.66</f>
        <v>83.966431095406364</v>
      </c>
      <c r="D150" s="46"/>
      <c r="E150" s="41"/>
      <c r="F150" s="57"/>
      <c r="G150" s="57"/>
      <c r="H150" s="41"/>
      <c r="I150" s="46"/>
      <c r="J150" s="46"/>
      <c r="K150" s="156"/>
    </row>
    <row r="151" spans="2:11" ht="16.5" x14ac:dyDescent="0.3">
      <c r="B151" s="184" t="s">
        <v>146</v>
      </c>
      <c r="C151" s="185">
        <f>3644.04/5.66</f>
        <v>643.82332155477025</v>
      </c>
      <c r="D151" s="46"/>
      <c r="E151" s="41"/>
      <c r="F151" s="57"/>
      <c r="G151" s="57"/>
      <c r="H151" s="41"/>
      <c r="I151" s="46"/>
      <c r="J151" s="46"/>
      <c r="K151" s="156"/>
    </row>
    <row r="152" spans="2:11" ht="16.5" x14ac:dyDescent="0.3">
      <c r="B152" s="184" t="s">
        <v>147</v>
      </c>
      <c r="C152" s="185">
        <f>723.32/5.66</f>
        <v>127.79505300353357</v>
      </c>
      <c r="D152" s="46"/>
      <c r="E152" s="41"/>
      <c r="F152" s="57"/>
      <c r="G152" s="57"/>
      <c r="H152" s="41"/>
      <c r="I152" s="46"/>
      <c r="J152" s="46"/>
      <c r="K152" s="156"/>
    </row>
    <row r="153" spans="2:11" s="182" customFormat="1" ht="16.5" x14ac:dyDescent="0.3">
      <c r="B153" s="184" t="s">
        <v>157</v>
      </c>
      <c r="C153" s="185">
        <f>8050/5.66</f>
        <v>1422.2614840989399</v>
      </c>
      <c r="D153" s="170"/>
      <c r="E153" s="181"/>
      <c r="F153" s="171"/>
      <c r="G153" s="171"/>
      <c r="H153" s="181"/>
      <c r="I153" s="170"/>
      <c r="J153" s="170"/>
      <c r="K153" s="101"/>
    </row>
    <row r="154" spans="2:11" ht="16.5" x14ac:dyDescent="0.3">
      <c r="B154" s="184" t="s">
        <v>147</v>
      </c>
      <c r="C154" s="185">
        <f>723.32/5.66</f>
        <v>127.79505300353357</v>
      </c>
      <c r="D154" s="46"/>
      <c r="E154" s="41"/>
      <c r="F154" s="57"/>
      <c r="G154" s="57"/>
      <c r="H154" s="41"/>
      <c r="I154" s="46"/>
      <c r="J154" s="46"/>
      <c r="K154" s="156"/>
    </row>
    <row r="155" spans="2:11" ht="16.5" x14ac:dyDescent="0.3">
      <c r="B155" s="184" t="s">
        <v>148</v>
      </c>
      <c r="C155" s="185">
        <f>991.66/5.66</f>
        <v>175.20494699646642</v>
      </c>
      <c r="D155" s="46"/>
      <c r="E155" s="41"/>
      <c r="F155" s="57"/>
      <c r="G155" s="57"/>
      <c r="H155" s="41"/>
      <c r="I155" s="46"/>
      <c r="J155" s="46"/>
      <c r="K155" s="156"/>
    </row>
    <row r="156" spans="2:11" ht="16.5" x14ac:dyDescent="0.3">
      <c r="B156" s="184" t="s">
        <v>147</v>
      </c>
      <c r="C156" s="185">
        <f>991.66/5.66</f>
        <v>175.20494699646642</v>
      </c>
      <c r="D156" s="46"/>
      <c r="E156" s="41"/>
      <c r="F156" s="57"/>
      <c r="G156" s="57"/>
      <c r="H156" s="41"/>
      <c r="I156" s="46"/>
      <c r="J156" s="46"/>
      <c r="K156" s="156"/>
    </row>
    <row r="157" spans="2:11" ht="16.5" x14ac:dyDescent="0.3">
      <c r="B157" s="184" t="s">
        <v>147</v>
      </c>
      <c r="C157" s="185">
        <f>746.66/5.66</f>
        <v>131.91872791519432</v>
      </c>
      <c r="D157" s="46"/>
      <c r="E157" s="41"/>
      <c r="F157" s="57"/>
      <c r="G157" s="57"/>
      <c r="H157" s="41"/>
      <c r="I157" s="46"/>
      <c r="J157" s="46"/>
      <c r="K157" s="156"/>
    </row>
    <row r="158" spans="2:11" ht="16.5" x14ac:dyDescent="0.3">
      <c r="B158" s="184" t="s">
        <v>158</v>
      </c>
      <c r="C158" s="185">
        <f>1500/5.66</f>
        <v>265.01766784452298</v>
      </c>
      <c r="D158" s="46"/>
      <c r="E158" s="41"/>
      <c r="F158" s="57"/>
      <c r="G158" s="57"/>
      <c r="H158" s="41"/>
      <c r="I158" s="46"/>
      <c r="J158" s="46"/>
      <c r="K158" s="156"/>
    </row>
    <row r="159" spans="2:11" ht="16.5" x14ac:dyDescent="0.3">
      <c r="B159" s="184" t="s">
        <v>149</v>
      </c>
      <c r="C159" s="185">
        <f>1700/5.66</f>
        <v>300.35335689045934</v>
      </c>
      <c r="D159" s="46"/>
      <c r="E159" s="41"/>
      <c r="F159" s="57"/>
      <c r="G159" s="57"/>
      <c r="H159" s="41"/>
      <c r="I159" s="46"/>
      <c r="J159" s="46"/>
      <c r="K159" s="156"/>
    </row>
    <row r="160" spans="2:11" ht="16.5" x14ac:dyDescent="0.3">
      <c r="B160" s="184" t="s">
        <v>150</v>
      </c>
      <c r="C160" s="185">
        <f>840/5.66</f>
        <v>148.40989399293287</v>
      </c>
      <c r="D160" s="46"/>
      <c r="E160" s="41"/>
      <c r="F160" s="57"/>
      <c r="G160" s="57"/>
      <c r="H160" s="41"/>
      <c r="I160" s="46"/>
      <c r="J160" s="46"/>
      <c r="K160" s="156"/>
    </row>
    <row r="161" spans="2:11" ht="16.5" x14ac:dyDescent="0.3">
      <c r="B161" s="184" t="s">
        <v>145</v>
      </c>
      <c r="C161" s="185">
        <f>1777.19/5.66</f>
        <v>313.99116607773851</v>
      </c>
      <c r="D161" s="46"/>
      <c r="E161" s="41"/>
      <c r="F161" s="57"/>
      <c r="G161" s="57"/>
      <c r="H161" s="41"/>
      <c r="I161" s="46"/>
      <c r="J161" s="46"/>
      <c r="K161" s="156"/>
    </row>
    <row r="162" spans="2:11" ht="16.5" x14ac:dyDescent="0.3">
      <c r="B162" s="184" t="s">
        <v>135</v>
      </c>
      <c r="C162" s="185">
        <f>48/5.66</f>
        <v>8.4805653710247348</v>
      </c>
      <c r="D162" s="46"/>
      <c r="E162" s="41"/>
      <c r="F162" s="57"/>
      <c r="G162" s="57"/>
      <c r="H162" s="41"/>
      <c r="I162" s="46"/>
      <c r="J162" s="46"/>
      <c r="K162" s="156"/>
    </row>
    <row r="163" spans="2:11" ht="16.5" x14ac:dyDescent="0.3">
      <c r="B163" s="184" t="s">
        <v>151</v>
      </c>
      <c r="C163" s="185">
        <f>1475/5.66</f>
        <v>260.60070671378094</v>
      </c>
      <c r="D163" s="46"/>
      <c r="E163" s="41"/>
      <c r="F163" s="57"/>
      <c r="G163" s="57"/>
      <c r="H163" s="41"/>
      <c r="I163" s="46"/>
      <c r="J163" s="46"/>
      <c r="K163" s="156"/>
    </row>
    <row r="164" spans="2:11" ht="16.5" x14ac:dyDescent="0.3">
      <c r="B164" s="184" t="s">
        <v>152</v>
      </c>
      <c r="C164" s="185">
        <f>1283/5.66</f>
        <v>226.67844522968198</v>
      </c>
      <c r="D164" s="46"/>
      <c r="E164" s="41"/>
      <c r="F164" s="57"/>
      <c r="G164" s="57"/>
      <c r="H164" s="41"/>
      <c r="I164" s="46"/>
      <c r="J164" s="46"/>
      <c r="K164" s="156"/>
    </row>
    <row r="165" spans="2:11" s="182" customFormat="1" ht="16.5" x14ac:dyDescent="0.3">
      <c r="B165" s="184" t="s">
        <v>153</v>
      </c>
      <c r="C165" s="185">
        <f>250/5.66</f>
        <v>44.169611307420496</v>
      </c>
      <c r="D165" s="170"/>
      <c r="E165" s="181"/>
      <c r="F165" s="171"/>
      <c r="G165" s="171"/>
      <c r="H165" s="181"/>
      <c r="I165" s="170"/>
      <c r="J165" s="170"/>
      <c r="K165" s="101"/>
    </row>
    <row r="166" spans="2:11" ht="16.5" x14ac:dyDescent="0.3">
      <c r="B166" s="184" t="s">
        <v>142</v>
      </c>
      <c r="C166" s="185">
        <f>1000/5.66</f>
        <v>176.67844522968198</v>
      </c>
      <c r="D166" s="46"/>
      <c r="E166" s="41"/>
      <c r="F166" s="57"/>
      <c r="G166" s="57"/>
      <c r="H166" s="41"/>
      <c r="I166" s="46"/>
      <c r="J166" s="46"/>
      <c r="K166" s="46"/>
    </row>
    <row r="167" spans="2:11" ht="16.5" x14ac:dyDescent="0.3">
      <c r="B167" s="184" t="s">
        <v>154</v>
      </c>
      <c r="C167" s="185">
        <f>99/5.66</f>
        <v>17.491166077738516</v>
      </c>
      <c r="D167" s="46"/>
      <c r="E167" s="41"/>
      <c r="F167" s="57"/>
      <c r="G167" s="57"/>
      <c r="H167" s="41"/>
      <c r="I167" s="46"/>
      <c r="J167" s="46"/>
      <c r="K167" s="46"/>
    </row>
    <row r="168" spans="2:11" s="182" customFormat="1" ht="16.5" x14ac:dyDescent="0.3">
      <c r="B168" s="184" t="s">
        <v>135</v>
      </c>
      <c r="C168" s="185">
        <f>5/5.66</f>
        <v>0.88339222614840984</v>
      </c>
      <c r="D168" s="170"/>
      <c r="E168" s="181"/>
      <c r="F168" s="171"/>
      <c r="G168" s="171"/>
      <c r="H168" s="181"/>
      <c r="I168" s="170"/>
      <c r="J168" s="170"/>
      <c r="K168" s="170"/>
    </row>
    <row r="169" spans="2:11" ht="16.5" x14ac:dyDescent="0.3">
      <c r="B169" s="184" t="s">
        <v>135</v>
      </c>
      <c r="C169" s="185">
        <f>48/5.66</f>
        <v>8.4805653710247348</v>
      </c>
      <c r="D169" s="46"/>
      <c r="E169" s="41"/>
      <c r="F169" s="57"/>
      <c r="G169" s="57"/>
      <c r="H169" s="41"/>
      <c r="I169" s="46"/>
      <c r="J169" s="46"/>
      <c r="K169" s="46"/>
    </row>
    <row r="170" spans="2:11" ht="16.5" x14ac:dyDescent="0.3">
      <c r="B170" s="184" t="s">
        <v>159</v>
      </c>
      <c r="C170" s="185">
        <f>10830.1/5.66</f>
        <v>1913.4452296819788</v>
      </c>
      <c r="D170" s="46"/>
      <c r="E170" s="41"/>
      <c r="F170" s="57"/>
      <c r="G170" s="57"/>
      <c r="H170" s="41"/>
      <c r="I170" s="46"/>
      <c r="J170" s="46"/>
      <c r="K170" s="46"/>
    </row>
    <row r="171" spans="2:11" ht="16.5" x14ac:dyDescent="0.3">
      <c r="B171" s="184" t="s">
        <v>160</v>
      </c>
      <c r="C171" s="185">
        <f>475.25/5.66</f>
        <v>83.966431095406364</v>
      </c>
      <c r="D171" s="46"/>
      <c r="E171" s="41"/>
      <c r="F171" s="57"/>
      <c r="G171" s="57"/>
      <c r="H171" s="41"/>
      <c r="I171" s="46"/>
      <c r="J171" s="46"/>
      <c r="K171" s="46"/>
    </row>
    <row r="172" spans="2:11" ht="16.5" x14ac:dyDescent="0.3">
      <c r="B172" s="184" t="s">
        <v>159</v>
      </c>
      <c r="C172" s="185">
        <f>1777.19/5.66</f>
        <v>313.99116607773851</v>
      </c>
      <c r="D172" s="46"/>
      <c r="E172" s="41"/>
      <c r="F172" s="57"/>
      <c r="G172" s="57"/>
      <c r="H172" s="41"/>
      <c r="I172" s="46"/>
      <c r="J172" s="46"/>
      <c r="K172" s="46"/>
    </row>
    <row r="173" spans="2:11" ht="16.5" x14ac:dyDescent="0.3">
      <c r="B173" s="184" t="s">
        <v>161</v>
      </c>
      <c r="C173" s="185">
        <f>2857.59/5.66</f>
        <v>504.87455830388694</v>
      </c>
      <c r="D173" s="46"/>
      <c r="E173" s="41"/>
      <c r="F173" s="57"/>
      <c r="G173" s="57"/>
      <c r="H173" s="41"/>
      <c r="I173" s="46"/>
      <c r="J173" s="46"/>
      <c r="K173" s="46"/>
    </row>
    <row r="174" spans="2:11" ht="16.5" x14ac:dyDescent="0.3">
      <c r="B174" s="184" t="s">
        <v>142</v>
      </c>
      <c r="C174" s="185">
        <f>1000/5.66</f>
        <v>176.67844522968198</v>
      </c>
      <c r="D174" s="46"/>
      <c r="E174" s="41"/>
      <c r="F174" s="57"/>
      <c r="G174" s="57"/>
      <c r="H174" s="41"/>
      <c r="I174" s="46"/>
      <c r="J174" s="46"/>
      <c r="K174" s="46"/>
    </row>
    <row r="175" spans="2:11" ht="16.5" x14ac:dyDescent="0.3">
      <c r="B175" s="184" t="s">
        <v>162</v>
      </c>
      <c r="C175" s="185">
        <f>600/5.66</f>
        <v>106.00706713780919</v>
      </c>
      <c r="D175" s="46"/>
      <c r="E175" s="41"/>
      <c r="F175" s="57"/>
      <c r="G175" s="57"/>
      <c r="H175" s="41"/>
      <c r="I175" s="46"/>
      <c r="J175" s="46"/>
      <c r="K175" s="46"/>
    </row>
    <row r="176" spans="2:11" ht="16.5" x14ac:dyDescent="0.3">
      <c r="B176" s="184" t="s">
        <v>162</v>
      </c>
      <c r="C176" s="185">
        <f>600/5.66</f>
        <v>106.00706713780919</v>
      </c>
      <c r="D176" s="46"/>
      <c r="E176" s="41"/>
      <c r="F176" s="57"/>
      <c r="G176" s="57"/>
      <c r="H176" s="41"/>
      <c r="I176" s="46"/>
      <c r="J176" s="46"/>
      <c r="K176" s="46"/>
    </row>
    <row r="177" spans="2:11" ht="16.5" x14ac:dyDescent="0.3">
      <c r="B177" s="184" t="s">
        <v>162</v>
      </c>
      <c r="C177" s="185">
        <f>500/5.66</f>
        <v>88.339222614840992</v>
      </c>
      <c r="D177" s="46"/>
      <c r="E177" s="41"/>
      <c r="F177" s="57"/>
      <c r="G177" s="57"/>
      <c r="H177" s="41"/>
      <c r="I177" s="46"/>
      <c r="J177" s="46"/>
      <c r="K177" s="46"/>
    </row>
    <row r="178" spans="2:11" ht="16.5" x14ac:dyDescent="0.3">
      <c r="B178" s="184" t="s">
        <v>135</v>
      </c>
      <c r="C178" s="185">
        <f>48/5.66</f>
        <v>8.4805653710247348</v>
      </c>
      <c r="D178" s="46"/>
      <c r="E178" s="41"/>
      <c r="F178" s="57"/>
      <c r="G178" s="57"/>
      <c r="H178" s="41"/>
      <c r="I178" s="46"/>
      <c r="J178" s="46"/>
      <c r="K178" s="46"/>
    </row>
    <row r="179" spans="2:11" ht="16.5" x14ac:dyDescent="0.3">
      <c r="B179" s="189" t="s">
        <v>164</v>
      </c>
      <c r="C179" s="192">
        <f>87.5+15+45</f>
        <v>147.5</v>
      </c>
      <c r="D179" s="46"/>
      <c r="E179" s="41"/>
      <c r="F179" s="57"/>
      <c r="G179" s="57"/>
      <c r="H179" s="41"/>
      <c r="I179" s="46"/>
      <c r="J179" s="46"/>
      <c r="K179" s="46"/>
    </row>
    <row r="180" spans="2:11" ht="14.25" customHeight="1" x14ac:dyDescent="0.3">
      <c r="B180" s="46"/>
      <c r="C180" s="148"/>
      <c r="D180" s="57"/>
      <c r="E180" s="41"/>
      <c r="F180" s="57"/>
      <c r="G180" s="57"/>
      <c r="H180" s="41"/>
      <c r="I180" s="46"/>
      <c r="J180" s="46"/>
      <c r="K180" s="46"/>
    </row>
    <row r="181" spans="2:11" ht="14.25" customHeight="1" x14ac:dyDescent="0.2">
      <c r="B181" s="46"/>
      <c r="C181" s="57"/>
      <c r="D181" s="57"/>
      <c r="E181" s="41"/>
      <c r="F181" s="57"/>
      <c r="G181" s="57"/>
      <c r="H181" s="41"/>
      <c r="I181" s="46"/>
      <c r="J181" s="46"/>
      <c r="K181" s="46"/>
    </row>
    <row r="182" spans="2:11" ht="13.5" thickBot="1" x14ac:dyDescent="0.25">
      <c r="B182" s="46"/>
      <c r="C182" s="41"/>
      <c r="D182" s="57"/>
      <c r="E182" s="41"/>
      <c r="F182" s="41"/>
      <c r="G182" s="57"/>
      <c r="H182" s="41"/>
      <c r="I182" s="46"/>
      <c r="J182" s="46"/>
      <c r="K182" s="46"/>
    </row>
    <row r="183" spans="2:11" ht="13.5" thickBot="1" x14ac:dyDescent="0.25">
      <c r="B183" s="58" t="s">
        <v>16</v>
      </c>
      <c r="C183" s="39">
        <f t="shared" ref="C183:H183" si="0">SUM(C119:C182)</f>
        <v>20180.183745583039</v>
      </c>
      <c r="D183" s="39">
        <f t="shared" si="0"/>
        <v>0</v>
      </c>
      <c r="E183" s="39">
        <f t="shared" si="0"/>
        <v>0</v>
      </c>
      <c r="F183" s="39">
        <f t="shared" si="0"/>
        <v>0</v>
      </c>
      <c r="G183" s="39">
        <f t="shared" si="0"/>
        <v>0</v>
      </c>
      <c r="H183" s="39">
        <f t="shared" si="0"/>
        <v>0</v>
      </c>
      <c r="I183" s="173"/>
      <c r="J183" s="174"/>
      <c r="K183" s="174"/>
    </row>
    <row r="184" spans="2:11" x14ac:dyDescent="0.2">
      <c r="B184" s="18"/>
      <c r="C184" s="40"/>
      <c r="D184" s="40"/>
      <c r="E184" s="40"/>
      <c r="F184" s="40"/>
      <c r="G184" s="40"/>
      <c r="H184" s="40"/>
      <c r="I184" s="18"/>
      <c r="J184" s="18"/>
      <c r="K184" s="18"/>
    </row>
    <row r="185" spans="2:11" x14ac:dyDescent="0.2">
      <c r="B185" s="15" t="s">
        <v>34</v>
      </c>
      <c r="C185" s="41"/>
      <c r="D185" s="57"/>
      <c r="E185" s="41"/>
      <c r="F185" s="60"/>
      <c r="G185" s="60"/>
      <c r="H185" s="60"/>
      <c r="I185" s="46"/>
      <c r="J185" s="46"/>
      <c r="K185" s="46"/>
    </row>
    <row r="186" spans="2:11" x14ac:dyDescent="0.2">
      <c r="B186" s="46"/>
      <c r="C186" s="57"/>
      <c r="D186" s="57"/>
      <c r="E186" s="57"/>
      <c r="F186" s="57"/>
      <c r="G186" s="57"/>
      <c r="H186" s="41"/>
      <c r="I186" s="46"/>
      <c r="J186" s="46"/>
      <c r="K186" s="156"/>
    </row>
    <row r="187" spans="2:11" x14ac:dyDescent="0.2">
      <c r="B187" s="46"/>
      <c r="C187" s="57"/>
      <c r="D187" s="60"/>
      <c r="E187" s="57"/>
      <c r="F187" s="60"/>
      <c r="G187" s="60"/>
      <c r="H187" s="60"/>
      <c r="I187" s="46"/>
      <c r="J187" s="46"/>
      <c r="K187" s="46"/>
    </row>
    <row r="188" spans="2:11" x14ac:dyDescent="0.2">
      <c r="B188" s="46"/>
      <c r="C188" s="57"/>
      <c r="D188" s="60"/>
      <c r="E188" s="57"/>
      <c r="F188" s="60"/>
      <c r="G188" s="60"/>
      <c r="H188" s="60"/>
      <c r="I188" s="46"/>
      <c r="J188" s="46"/>
      <c r="K188" s="46"/>
    </row>
    <row r="189" spans="2:11" x14ac:dyDescent="0.2">
      <c r="B189" s="46"/>
      <c r="C189" s="57"/>
      <c r="D189" s="60"/>
      <c r="E189" s="57"/>
      <c r="F189" s="60"/>
      <c r="G189" s="60"/>
      <c r="H189" s="60"/>
      <c r="I189" s="46"/>
      <c r="J189" s="46"/>
      <c r="K189" s="46"/>
    </row>
    <row r="190" spans="2:11" x14ac:dyDescent="0.2">
      <c r="B190" s="46"/>
      <c r="C190" s="57"/>
      <c r="D190" s="60"/>
      <c r="E190" s="57"/>
      <c r="F190" s="60"/>
      <c r="G190" s="60"/>
      <c r="H190" s="60"/>
      <c r="I190" s="46"/>
      <c r="J190" s="46"/>
      <c r="K190" s="46"/>
    </row>
    <row r="191" spans="2:11" x14ac:dyDescent="0.2">
      <c r="B191" s="46"/>
      <c r="C191" s="57"/>
      <c r="D191" s="60"/>
      <c r="E191" s="57"/>
      <c r="F191" s="60"/>
      <c r="G191" s="60"/>
      <c r="H191" s="60"/>
      <c r="I191" s="46"/>
      <c r="J191" s="46"/>
      <c r="K191" s="46"/>
    </row>
    <row r="192" spans="2:11" x14ac:dyDescent="0.2">
      <c r="B192" s="46"/>
      <c r="C192" s="57"/>
      <c r="D192" s="60"/>
      <c r="E192" s="57"/>
      <c r="F192" s="60"/>
      <c r="G192" s="60"/>
      <c r="H192" s="60"/>
      <c r="I192" s="46"/>
      <c r="J192" s="46"/>
      <c r="K192" s="46"/>
    </row>
    <row r="193" spans="2:11" x14ac:dyDescent="0.2">
      <c r="B193" s="46"/>
      <c r="C193" s="57"/>
      <c r="D193" s="60"/>
      <c r="E193" s="57"/>
      <c r="F193" s="60"/>
      <c r="G193" s="60"/>
      <c r="H193" s="60"/>
      <c r="I193" s="46"/>
      <c r="J193" s="46"/>
      <c r="K193" s="46"/>
    </row>
    <row r="194" spans="2:11" x14ac:dyDescent="0.2">
      <c r="B194" s="46"/>
      <c r="C194" s="57"/>
      <c r="D194" s="60"/>
      <c r="E194" s="57"/>
      <c r="F194" s="60"/>
      <c r="G194" s="60"/>
      <c r="H194" s="60"/>
      <c r="I194" s="46"/>
      <c r="J194" s="46"/>
      <c r="K194" s="46"/>
    </row>
    <row r="195" spans="2:11" x14ac:dyDescent="0.2">
      <c r="B195" s="46"/>
      <c r="C195" s="57"/>
      <c r="D195" s="60"/>
      <c r="E195" s="57"/>
      <c r="F195" s="60"/>
      <c r="G195" s="60"/>
      <c r="H195" s="60"/>
      <c r="I195" s="46"/>
      <c r="J195" s="46"/>
      <c r="K195" s="46"/>
    </row>
    <row r="196" spans="2:11" ht="14.25" x14ac:dyDescent="0.2">
      <c r="B196" s="175"/>
      <c r="C196" s="176"/>
      <c r="D196" s="60"/>
      <c r="E196" s="57"/>
      <c r="F196" s="60"/>
      <c r="G196" s="60"/>
      <c r="H196" s="60"/>
      <c r="I196" s="46"/>
      <c r="J196" s="46"/>
      <c r="K196" s="46"/>
    </row>
    <row r="197" spans="2:11" ht="14.25" x14ac:dyDescent="0.2">
      <c r="B197" s="175"/>
      <c r="C197" s="177"/>
      <c r="D197" s="60"/>
      <c r="E197" s="57"/>
      <c r="F197" s="60"/>
      <c r="G197" s="60"/>
      <c r="H197" s="60"/>
      <c r="I197" s="46"/>
      <c r="J197" s="46"/>
      <c r="K197" s="46"/>
    </row>
    <row r="198" spans="2:11" ht="16.5" x14ac:dyDescent="0.3">
      <c r="B198" s="175"/>
      <c r="C198" s="148"/>
      <c r="D198" s="60"/>
      <c r="E198" s="57"/>
      <c r="F198" s="60"/>
      <c r="G198" s="60"/>
      <c r="H198" s="60"/>
      <c r="I198" s="46"/>
      <c r="J198" s="46"/>
      <c r="K198" s="46"/>
    </row>
    <row r="199" spans="2:11" ht="16.5" x14ac:dyDescent="0.3">
      <c r="B199" s="175"/>
      <c r="C199" s="148"/>
      <c r="D199" s="57"/>
      <c r="E199" s="57"/>
      <c r="F199" s="60"/>
      <c r="G199" s="60"/>
      <c r="H199" s="60"/>
      <c r="I199" s="46"/>
      <c r="J199" s="46"/>
      <c r="K199" s="46"/>
    </row>
    <row r="200" spans="2:11" ht="13.5" thickBot="1" x14ac:dyDescent="0.25">
      <c r="B200" s="58" t="s">
        <v>16</v>
      </c>
      <c r="C200" s="59">
        <f>SUM(C186:C199)</f>
        <v>0</v>
      </c>
      <c r="D200" s="59">
        <f>SUM(D186:D198)</f>
        <v>0</v>
      </c>
      <c r="E200" s="59">
        <f>SUM(E187:E198)</f>
        <v>0</v>
      </c>
      <c r="F200" s="59">
        <f>SUM(F186:F198)</f>
        <v>0</v>
      </c>
      <c r="G200" s="59">
        <f>SUM(G186:G198)</f>
        <v>0</v>
      </c>
      <c r="H200" s="178"/>
      <c r="I200" s="160"/>
      <c r="J200" s="160"/>
      <c r="K200" s="179"/>
    </row>
    <row r="201" spans="2:11" x14ac:dyDescent="0.2">
      <c r="B201" s="18"/>
      <c r="C201" s="40"/>
      <c r="D201" s="40"/>
      <c r="E201" s="40"/>
      <c r="F201" s="40"/>
      <c r="G201" s="40"/>
      <c r="H201" s="40"/>
      <c r="I201" s="18"/>
      <c r="J201" s="18"/>
      <c r="K201" s="18"/>
    </row>
    <row r="202" spans="2:11" x14ac:dyDescent="0.2">
      <c r="B202" s="15"/>
      <c r="C202" s="41"/>
      <c r="D202" s="57"/>
      <c r="E202" s="41"/>
      <c r="F202" s="60"/>
      <c r="G202" s="60"/>
      <c r="H202" s="60"/>
      <c r="I202" s="46"/>
      <c r="J202" s="46"/>
      <c r="K202" s="46"/>
    </row>
    <row r="203" spans="2:11" x14ac:dyDescent="0.2">
      <c r="B203" s="42"/>
      <c r="C203" s="41"/>
      <c r="D203" s="57">
        <v>0</v>
      </c>
      <c r="E203" s="41">
        <f>D203-C203</f>
        <v>0</v>
      </c>
      <c r="F203" s="60"/>
      <c r="G203" s="60"/>
      <c r="H203" s="60"/>
      <c r="I203" s="46"/>
      <c r="J203" s="46"/>
      <c r="K203" s="46"/>
    </row>
    <row r="204" spans="2:11" x14ac:dyDescent="0.2">
      <c r="B204" s="42"/>
      <c r="C204" s="41"/>
      <c r="D204" s="57">
        <v>0</v>
      </c>
      <c r="E204" s="41">
        <f>D204-C204</f>
        <v>0</v>
      </c>
      <c r="F204" s="60"/>
      <c r="G204" s="60"/>
      <c r="H204" s="60"/>
      <c r="I204" s="46"/>
      <c r="J204" s="46"/>
      <c r="K204" s="46"/>
    </row>
    <row r="205" spans="2:11" ht="13.5" thickBot="1" x14ac:dyDescent="0.25">
      <c r="B205" s="42"/>
      <c r="C205" s="41"/>
      <c r="D205" s="57"/>
      <c r="E205" s="41"/>
      <c r="F205" s="60"/>
      <c r="G205" s="60"/>
      <c r="H205" s="60"/>
      <c r="I205" s="46"/>
      <c r="J205" s="46"/>
      <c r="K205" s="46"/>
    </row>
    <row r="206" spans="2:11" ht="13.5" thickBot="1" x14ac:dyDescent="0.25">
      <c r="B206" s="17" t="s">
        <v>16</v>
      </c>
      <c r="C206" s="38">
        <f>SUM(C203:C204)</f>
        <v>0</v>
      </c>
      <c r="D206" s="38">
        <f t="shared" ref="D206:E206" si="1">SUM(D203:D204)</f>
        <v>0</v>
      </c>
      <c r="E206" s="38">
        <f t="shared" si="1"/>
        <v>0</v>
      </c>
      <c r="F206" s="172"/>
      <c r="G206" s="172"/>
      <c r="H206" s="172"/>
      <c r="I206" s="180"/>
      <c r="J206" s="180"/>
      <c r="K206" s="174"/>
    </row>
    <row r="207" spans="2:11" x14ac:dyDescent="0.2">
      <c r="B207" s="18"/>
      <c r="C207" s="40"/>
      <c r="D207" s="40"/>
      <c r="E207" s="40"/>
      <c r="F207" s="40"/>
      <c r="G207" s="40"/>
      <c r="H207" s="40"/>
      <c r="I207" s="18"/>
      <c r="J207" s="18"/>
      <c r="K207" s="18"/>
    </row>
    <row r="208" spans="2:11" x14ac:dyDescent="0.2">
      <c r="B208" s="29"/>
      <c r="C208" s="41"/>
      <c r="D208" s="41"/>
      <c r="E208" s="41"/>
      <c r="F208" s="60"/>
      <c r="G208" s="60"/>
      <c r="H208" s="60"/>
      <c r="I208" s="46"/>
      <c r="J208" s="46"/>
      <c r="K208" s="46"/>
    </row>
    <row r="209" spans="2:11" x14ac:dyDescent="0.2">
      <c r="B209" s="29" t="s">
        <v>29</v>
      </c>
      <c r="C209" s="41"/>
      <c r="D209" s="41"/>
      <c r="E209" s="41"/>
      <c r="F209" s="60"/>
      <c r="G209" s="60"/>
      <c r="H209" s="60"/>
      <c r="I209" s="46"/>
      <c r="J209" s="46"/>
      <c r="K209" s="46"/>
    </row>
    <row r="210" spans="2:11" ht="13.5" thickBot="1" x14ac:dyDescent="0.25">
      <c r="B210" s="29"/>
      <c r="C210" s="41"/>
      <c r="D210" s="41"/>
      <c r="E210" s="41"/>
      <c r="F210" s="60"/>
      <c r="G210" s="60"/>
      <c r="H210" s="60"/>
      <c r="I210" s="46"/>
      <c r="J210" s="46"/>
      <c r="K210" s="46"/>
    </row>
    <row r="211" spans="2:11" s="12" customFormat="1" ht="13.5" thickBot="1" x14ac:dyDescent="0.25">
      <c r="B211" s="30" t="s">
        <v>25</v>
      </c>
      <c r="C211" s="47">
        <f>C39+C48+C98+C108+C116+C183+C200</f>
        <v>315868.68197879859</v>
      </c>
      <c r="D211" s="31">
        <f>D39+D48+D98+D108+D116+D183+D200+D206+D209</f>
        <v>0</v>
      </c>
      <c r="E211" s="31">
        <f>D211-C211</f>
        <v>-315868.68197879859</v>
      </c>
      <c r="F211" s="31"/>
      <c r="G211" s="31"/>
      <c r="H211" s="31"/>
      <c r="I211" s="48"/>
      <c r="J211" s="49"/>
      <c r="K211" s="49"/>
    </row>
  </sheetData>
  <mergeCells count="7">
    <mergeCell ref="F9:H9"/>
    <mergeCell ref="F10:H10"/>
    <mergeCell ref="B1:J1"/>
    <mergeCell ref="B3:J3"/>
    <mergeCell ref="B4:J4"/>
    <mergeCell ref="B2:J2"/>
    <mergeCell ref="C9:E11"/>
  </mergeCells>
  <phoneticPr fontId="0" type="noConversion"/>
  <pageMargins left="0" right="0" top="0.43" bottom="0.36" header="0.21" footer="0.18"/>
  <pageSetup paperSize="9" scale="65" orientation="landscape" r:id="rId1"/>
  <headerFooter alignWithMargins="0"/>
  <ignoredErrors>
    <ignoredError sqref="C31 C15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4"/>
  <sheetViews>
    <sheetView workbookViewId="0">
      <selection activeCell="B18" sqref="B18"/>
    </sheetView>
  </sheetViews>
  <sheetFormatPr defaultRowHeight="12.75" x14ac:dyDescent="0.2"/>
  <cols>
    <col min="1" max="1" width="9.140625" style="70"/>
    <col min="2" max="2" width="57.5703125" style="70" customWidth="1"/>
    <col min="3" max="4" width="12.85546875" style="70" bestFit="1" customWidth="1"/>
    <col min="5" max="5" width="13.28515625" style="70" customWidth="1"/>
    <col min="6" max="6" width="10.42578125" style="70" customWidth="1"/>
    <col min="7" max="7" width="11.5703125" style="70" customWidth="1"/>
    <col min="8" max="8" width="9.140625" style="70"/>
    <col min="9" max="9" width="14.85546875" style="70" customWidth="1"/>
    <col min="10" max="10" width="10.85546875" style="70" bestFit="1" customWidth="1"/>
    <col min="11" max="16384" width="9.140625" style="70"/>
  </cols>
  <sheetData>
    <row r="3" spans="2:11" ht="15.75" x14ac:dyDescent="0.25">
      <c r="B3" s="69"/>
    </row>
    <row r="4" spans="2:11" ht="16.5" thickBot="1" x14ac:dyDescent="0.3">
      <c r="B4" s="71"/>
      <c r="C4" s="72"/>
      <c r="D4" s="72"/>
      <c r="E4" s="72"/>
      <c r="F4" s="72"/>
      <c r="G4" s="72"/>
      <c r="H4" s="72"/>
      <c r="I4" s="72"/>
      <c r="J4" s="72"/>
      <c r="K4" s="72"/>
    </row>
    <row r="5" spans="2:11" x14ac:dyDescent="0.2">
      <c r="B5" s="208" t="s">
        <v>77</v>
      </c>
      <c r="C5" s="208"/>
      <c r="D5" s="208"/>
      <c r="E5" s="208"/>
      <c r="F5" s="208"/>
      <c r="G5" s="208"/>
      <c r="H5" s="208"/>
      <c r="I5" s="208"/>
      <c r="J5" s="208"/>
    </row>
    <row r="6" spans="2:11" ht="15" x14ac:dyDescent="0.25">
      <c r="B6" s="202" t="s">
        <v>82</v>
      </c>
      <c r="C6" s="203"/>
      <c r="D6" s="203"/>
      <c r="E6" s="203"/>
      <c r="F6" s="203"/>
      <c r="G6" s="203"/>
      <c r="H6" s="203"/>
      <c r="I6" s="203"/>
      <c r="J6" s="203"/>
    </row>
    <row r="7" spans="2:11" x14ac:dyDescent="0.2">
      <c r="B7" s="216" t="s">
        <v>24</v>
      </c>
      <c r="C7" s="216"/>
      <c r="D7" s="216"/>
      <c r="E7" s="216"/>
      <c r="F7" s="216"/>
      <c r="G7" s="216"/>
      <c r="H7" s="216"/>
      <c r="I7" s="216"/>
      <c r="J7" s="216"/>
    </row>
    <row r="8" spans="2:11" x14ac:dyDescent="0.2">
      <c r="B8" s="216" t="s">
        <v>86</v>
      </c>
      <c r="C8" s="216"/>
      <c r="D8" s="216"/>
      <c r="E8" s="216"/>
      <c r="F8" s="216"/>
      <c r="G8" s="216"/>
      <c r="H8" s="216"/>
      <c r="I8" s="216"/>
      <c r="J8" s="216"/>
    </row>
    <row r="10" spans="2:11" x14ac:dyDescent="0.2">
      <c r="F10" s="73" t="s">
        <v>28</v>
      </c>
      <c r="J10" s="74"/>
    </row>
    <row r="12" spans="2:11" x14ac:dyDescent="0.2">
      <c r="B12" s="75"/>
      <c r="C12" s="75"/>
      <c r="D12" s="76"/>
      <c r="E12" s="77"/>
      <c r="F12" s="75"/>
      <c r="G12" s="76"/>
      <c r="H12" s="77"/>
      <c r="I12" s="77"/>
      <c r="J12" s="77"/>
      <c r="K12" s="77"/>
    </row>
    <row r="13" spans="2:11" x14ac:dyDescent="0.2">
      <c r="B13" s="78"/>
      <c r="C13" s="215"/>
      <c r="D13" s="213"/>
      <c r="E13" s="214"/>
      <c r="F13" s="215"/>
      <c r="G13" s="213"/>
      <c r="H13" s="214"/>
      <c r="I13" s="79"/>
      <c r="J13" s="79"/>
      <c r="K13" s="79"/>
    </row>
    <row r="14" spans="2:11" x14ac:dyDescent="0.2">
      <c r="B14" s="80" t="s">
        <v>1</v>
      </c>
      <c r="C14" s="212" t="s">
        <v>80</v>
      </c>
      <c r="D14" s="213"/>
      <c r="E14" s="214"/>
      <c r="F14" s="215" t="s">
        <v>20</v>
      </c>
      <c r="G14" s="213"/>
      <c r="H14" s="214"/>
      <c r="I14" s="79" t="s">
        <v>17</v>
      </c>
      <c r="J14" s="79" t="s">
        <v>18</v>
      </c>
      <c r="K14" s="79" t="s">
        <v>12</v>
      </c>
    </row>
    <row r="15" spans="2:11" x14ac:dyDescent="0.2">
      <c r="B15" s="81"/>
      <c r="C15" s="81"/>
      <c r="D15" s="82"/>
      <c r="E15" s="83"/>
      <c r="F15" s="84"/>
      <c r="G15" s="85" t="s">
        <v>19</v>
      </c>
      <c r="H15" s="83"/>
      <c r="I15" s="86" t="s">
        <v>9</v>
      </c>
      <c r="J15" s="86" t="s">
        <v>11</v>
      </c>
      <c r="K15" s="86" t="s">
        <v>13</v>
      </c>
    </row>
    <row r="16" spans="2:11" x14ac:dyDescent="0.2">
      <c r="B16" s="87"/>
      <c r="C16" s="87" t="s">
        <v>7</v>
      </c>
      <c r="D16" s="88" t="s">
        <v>8</v>
      </c>
      <c r="E16" s="89" t="s">
        <v>9</v>
      </c>
      <c r="F16" s="87" t="s">
        <v>7</v>
      </c>
      <c r="G16" s="88" t="s">
        <v>8</v>
      </c>
      <c r="H16" s="89" t="s">
        <v>9</v>
      </c>
      <c r="I16" s="89"/>
      <c r="J16" s="89"/>
      <c r="K16" s="89"/>
    </row>
    <row r="17" spans="2:11" x14ac:dyDescent="0.2">
      <c r="B17" s="15"/>
      <c r="C17" s="63"/>
      <c r="D17" s="63"/>
      <c r="E17" s="63"/>
      <c r="F17" s="63"/>
      <c r="G17" s="63"/>
      <c r="H17" s="63"/>
      <c r="I17" s="91"/>
      <c r="J17" s="91"/>
      <c r="K17" s="91"/>
    </row>
    <row r="18" spans="2:11" x14ac:dyDescent="0.2">
      <c r="B18" s="92"/>
      <c r="C18" s="63"/>
      <c r="D18" s="63"/>
      <c r="E18" s="63">
        <f t="shared" ref="E18" si="0">C18-D18</f>
        <v>0</v>
      </c>
      <c r="F18" s="63"/>
      <c r="G18" s="93"/>
      <c r="H18" s="63"/>
      <c r="I18" s="91"/>
      <c r="J18" s="91"/>
      <c r="K18" s="91"/>
    </row>
    <row r="19" spans="2:11" x14ac:dyDescent="0.2">
      <c r="B19" s="92"/>
      <c r="C19" s="63"/>
      <c r="D19" s="63"/>
      <c r="E19" s="63"/>
      <c r="F19" s="63"/>
      <c r="G19" s="93"/>
      <c r="H19" s="63"/>
      <c r="I19" s="91"/>
      <c r="J19" s="91"/>
      <c r="K19" s="91"/>
    </row>
    <row r="20" spans="2:11" x14ac:dyDescent="0.2">
      <c r="B20" s="92"/>
      <c r="C20" s="63"/>
      <c r="D20" s="63"/>
      <c r="E20" s="63"/>
      <c r="F20" s="63"/>
      <c r="G20" s="93"/>
      <c r="H20" s="63"/>
      <c r="I20" s="92"/>
      <c r="J20" s="91"/>
      <c r="K20" s="91"/>
    </row>
    <row r="21" spans="2:11" x14ac:dyDescent="0.2">
      <c r="B21" s="90"/>
      <c r="C21" s="63"/>
      <c r="D21" s="63"/>
      <c r="E21" s="63"/>
      <c r="F21" s="63"/>
      <c r="G21" s="63"/>
      <c r="H21" s="63"/>
      <c r="I21" s="91"/>
      <c r="J21" s="91"/>
      <c r="K21" s="91"/>
    </row>
    <row r="22" spans="2:11" s="74" customFormat="1" x14ac:dyDescent="0.2">
      <c r="B22" s="94" t="s">
        <v>16</v>
      </c>
      <c r="C22" s="95">
        <f>SUM(C18:C20)</f>
        <v>0</v>
      </c>
      <c r="D22" s="95">
        <f>SUM(D18:D20)</f>
        <v>0</v>
      </c>
      <c r="E22" s="95">
        <f>SUM(E18:E20)</f>
        <v>0</v>
      </c>
      <c r="F22" s="96">
        <f>SUM(F18:F21)</f>
        <v>0</v>
      </c>
      <c r="G22" s="96">
        <f>SUM(G18:G21)</f>
        <v>0</v>
      </c>
      <c r="H22" s="96">
        <f>SUM(H18:H21)</f>
        <v>0</v>
      </c>
      <c r="I22" s="94"/>
      <c r="J22" s="94"/>
      <c r="K22" s="94"/>
    </row>
    <row r="23" spans="2:11" x14ac:dyDescent="0.2">
      <c r="B23" s="91"/>
      <c r="C23" s="63"/>
      <c r="D23" s="63"/>
      <c r="E23" s="63"/>
      <c r="F23" s="63"/>
      <c r="G23" s="63"/>
      <c r="H23" s="63"/>
      <c r="I23" s="91"/>
      <c r="J23" s="91"/>
      <c r="K23" s="91"/>
    </row>
    <row r="24" spans="2:11" x14ac:dyDescent="0.2">
      <c r="C24" s="63"/>
      <c r="D24" s="63"/>
      <c r="E24" s="63"/>
      <c r="F24" s="63"/>
      <c r="G24" s="63"/>
      <c r="H24" s="63"/>
      <c r="I24" s="91"/>
      <c r="J24" s="91"/>
      <c r="K24" s="91"/>
    </row>
    <row r="25" spans="2:11" x14ac:dyDescent="0.2">
      <c r="B25" s="92"/>
      <c r="C25" s="63"/>
      <c r="D25" s="93"/>
      <c r="E25" s="63"/>
      <c r="F25" s="63"/>
      <c r="G25" s="93"/>
      <c r="H25" s="63"/>
      <c r="I25" s="91"/>
      <c r="J25" s="91"/>
      <c r="K25" s="91"/>
    </row>
    <row r="26" spans="2:11" x14ac:dyDescent="0.2">
      <c r="B26" s="106" t="s">
        <v>37</v>
      </c>
      <c r="C26" s="107"/>
      <c r="D26" s="93"/>
      <c r="E26" s="63"/>
      <c r="F26" s="63"/>
      <c r="G26" s="93"/>
      <c r="H26" s="63"/>
      <c r="I26" s="91"/>
      <c r="J26" s="91"/>
      <c r="K26" s="91"/>
    </row>
    <row r="27" spans="2:11" x14ac:dyDescent="0.2">
      <c r="B27" s="106" t="s">
        <v>40</v>
      </c>
      <c r="C27" s="107"/>
      <c r="D27" s="93"/>
      <c r="E27" s="63"/>
      <c r="F27" s="63"/>
      <c r="G27" s="93"/>
      <c r="H27" s="63"/>
      <c r="I27" s="91"/>
      <c r="J27" s="91"/>
      <c r="K27" s="91"/>
    </row>
    <row r="28" spans="2:11" x14ac:dyDescent="0.2">
      <c r="B28" s="106" t="s">
        <v>39</v>
      </c>
      <c r="C28" s="107"/>
      <c r="D28" s="93"/>
      <c r="E28" s="63"/>
      <c r="F28" s="63"/>
      <c r="G28" s="93"/>
      <c r="H28" s="63"/>
      <c r="I28" s="91"/>
      <c r="J28" s="91"/>
      <c r="K28" s="91"/>
    </row>
    <row r="29" spans="2:11" x14ac:dyDescent="0.2">
      <c r="B29" s="92"/>
      <c r="C29" s="63"/>
      <c r="D29" s="93"/>
      <c r="E29" s="63"/>
      <c r="F29" s="63"/>
      <c r="G29" s="93"/>
      <c r="H29" s="63"/>
      <c r="I29" s="91"/>
      <c r="J29" s="91"/>
      <c r="K29" s="91"/>
    </row>
    <row r="30" spans="2:11" x14ac:dyDescent="0.2">
      <c r="B30" s="92"/>
      <c r="C30" s="63"/>
      <c r="D30" s="93"/>
      <c r="E30" s="63"/>
      <c r="F30" s="63"/>
      <c r="G30" s="93"/>
      <c r="H30" s="63"/>
      <c r="I30" s="92"/>
      <c r="J30" s="91"/>
      <c r="K30" s="91"/>
    </row>
    <row r="31" spans="2:11" x14ac:dyDescent="0.2">
      <c r="B31" s="94"/>
      <c r="C31" s="97"/>
      <c r="D31" s="97"/>
      <c r="E31" s="97"/>
      <c r="F31" s="63"/>
      <c r="G31" s="63"/>
      <c r="H31" s="63"/>
      <c r="I31" s="91"/>
      <c r="J31" s="91"/>
      <c r="K31" s="91"/>
    </row>
    <row r="32" spans="2:11" x14ac:dyDescent="0.2">
      <c r="B32" s="94"/>
      <c r="C32" s="97"/>
      <c r="D32" s="97"/>
      <c r="E32" s="97"/>
      <c r="F32" s="63"/>
      <c r="G32" s="63"/>
      <c r="H32" s="63"/>
      <c r="I32" s="91"/>
      <c r="J32" s="91"/>
      <c r="K32" s="91"/>
    </row>
    <row r="33" spans="2:11" x14ac:dyDescent="0.2">
      <c r="B33" s="94"/>
      <c r="C33" s="97"/>
      <c r="D33" s="97"/>
      <c r="E33" s="97"/>
      <c r="F33" s="63"/>
      <c r="G33" s="63"/>
      <c r="H33" s="63"/>
      <c r="I33" s="91"/>
      <c r="J33" s="91"/>
      <c r="K33" s="91"/>
    </row>
    <row r="34" spans="2:11" s="74" customFormat="1" x14ac:dyDescent="0.2">
      <c r="B34" s="90" t="s">
        <v>25</v>
      </c>
      <c r="C34" s="96">
        <f>C22</f>
        <v>0</v>
      </c>
      <c r="D34" s="96">
        <f>D22</f>
        <v>0</v>
      </c>
      <c r="E34" s="96">
        <f>D34-C34</f>
        <v>0</v>
      </c>
      <c r="F34" s="96"/>
      <c r="G34" s="96"/>
      <c r="H34" s="96"/>
      <c r="I34" s="94"/>
      <c r="J34" s="94"/>
      <c r="K34" s="94"/>
    </row>
  </sheetData>
  <mergeCells count="8">
    <mergeCell ref="B5:J5"/>
    <mergeCell ref="B6:J6"/>
    <mergeCell ref="C14:E14"/>
    <mergeCell ref="F14:H14"/>
    <mergeCell ref="B7:J7"/>
    <mergeCell ref="B8:J8"/>
    <mergeCell ref="C13:E13"/>
    <mergeCell ref="F13:H13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opLeftCell="A37" workbookViewId="0">
      <selection activeCell="C55" sqref="C55"/>
    </sheetView>
  </sheetViews>
  <sheetFormatPr defaultColWidth="8.85546875" defaultRowHeight="18.75" x14ac:dyDescent="0.3"/>
  <cols>
    <col min="1" max="2" width="8.85546875" style="109"/>
    <col min="3" max="3" width="96.42578125" style="109" customWidth="1"/>
    <col min="4" max="4" width="19.42578125" style="109" customWidth="1"/>
    <col min="5" max="5" width="16.140625" style="109" customWidth="1"/>
    <col min="6" max="6" width="16" style="109" bestFit="1" customWidth="1"/>
    <col min="7" max="7" width="14.5703125" style="109" bestFit="1" customWidth="1"/>
    <col min="8" max="8" width="17" style="109" customWidth="1"/>
    <col min="9" max="9" width="11.85546875" style="109" customWidth="1"/>
    <col min="10" max="12" width="8.85546875" style="109"/>
    <col min="13" max="13" width="27" style="109" customWidth="1"/>
    <col min="14" max="16384" width="8.85546875" style="109"/>
  </cols>
  <sheetData>
    <row r="1" spans="1:9" x14ac:dyDescent="0.3">
      <c r="A1" s="219" t="s">
        <v>81</v>
      </c>
      <c r="B1" s="219"/>
      <c r="C1" s="219"/>
      <c r="D1" s="219"/>
      <c r="E1" s="219"/>
    </row>
    <row r="2" spans="1:9" ht="39.950000000000003" customHeight="1" x14ac:dyDescent="0.3">
      <c r="A2" s="220" t="s">
        <v>87</v>
      </c>
      <c r="B2" s="220"/>
      <c r="C2" s="220"/>
      <c r="D2" s="220"/>
      <c r="E2" s="220"/>
      <c r="F2" s="110"/>
      <c r="G2" s="110"/>
      <c r="H2" s="110"/>
      <c r="I2" s="110"/>
    </row>
    <row r="3" spans="1:9" x14ac:dyDescent="0.3">
      <c r="A3" s="110"/>
      <c r="B3" s="110"/>
      <c r="C3" s="110"/>
      <c r="D3" s="111"/>
      <c r="E3" s="110"/>
      <c r="F3" s="110"/>
      <c r="G3" s="110"/>
      <c r="H3" s="110"/>
      <c r="I3" s="110"/>
    </row>
    <row r="4" spans="1:9" x14ac:dyDescent="0.3">
      <c r="A4" s="217" t="s">
        <v>42</v>
      </c>
      <c r="B4" s="217"/>
      <c r="C4" s="217"/>
      <c r="D4" s="217"/>
      <c r="E4" s="217"/>
      <c r="F4" s="110"/>
      <c r="G4" s="110"/>
      <c r="H4" s="110"/>
      <c r="I4" s="110"/>
    </row>
    <row r="5" spans="1:9" x14ac:dyDescent="0.3">
      <c r="A5" s="110"/>
      <c r="C5" s="110"/>
      <c r="D5" s="112"/>
    </row>
    <row r="6" spans="1:9" ht="19.5" thickBot="1" x14ac:dyDescent="0.35">
      <c r="A6" s="110">
        <v>1</v>
      </c>
      <c r="C6" s="110" t="s">
        <v>43</v>
      </c>
      <c r="D6" s="122"/>
    </row>
    <row r="7" spans="1:9" ht="19.5" thickTop="1" x14ac:dyDescent="0.3">
      <c r="C7" s="110"/>
    </row>
    <row r="8" spans="1:9" ht="31.5" x14ac:dyDescent="0.3">
      <c r="A8" s="110">
        <v>2</v>
      </c>
      <c r="C8" s="110" t="s">
        <v>44</v>
      </c>
      <c r="D8" s="113" t="s">
        <v>45</v>
      </c>
      <c r="E8" s="113" t="s">
        <v>46</v>
      </c>
    </row>
    <row r="9" spans="1:9" x14ac:dyDescent="0.3">
      <c r="A9" s="110"/>
      <c r="B9" s="110"/>
      <c r="C9" s="110"/>
      <c r="F9" s="114"/>
    </row>
    <row r="10" spans="1:9" x14ac:dyDescent="0.3">
      <c r="A10" s="110"/>
      <c r="B10" s="110" t="s">
        <v>47</v>
      </c>
      <c r="C10" s="115" t="s">
        <v>48</v>
      </c>
      <c r="D10" s="127"/>
      <c r="E10" s="127"/>
      <c r="F10" s="114"/>
    </row>
    <row r="11" spans="1:9" x14ac:dyDescent="0.3">
      <c r="A11" s="110"/>
      <c r="B11" s="110"/>
      <c r="C11" s="115"/>
      <c r="D11" s="127"/>
      <c r="E11" s="127"/>
      <c r="F11" s="114"/>
      <c r="G11" s="146"/>
      <c r="H11" s="146"/>
    </row>
    <row r="12" spans="1:9" x14ac:dyDescent="0.3">
      <c r="A12" s="110"/>
      <c r="B12" s="110" t="s">
        <v>49</v>
      </c>
      <c r="C12" s="115" t="s">
        <v>50</v>
      </c>
      <c r="D12" s="127">
        <f>'uses of fund by component'!C127+'uses of fund by component'!C147+'uses of fund by component'!C153+'uses of fund by component'!C158+'uses of fund by component'!C165+'uses of fund by component'!C175+'uses of fund by component'!C176+'uses of fund by component'!C177</f>
        <v>2367.4911660777389</v>
      </c>
      <c r="E12" s="127">
        <f>'uses of fund by component'!C52+'uses of fund by component'!C53+'uses of fund by component'!C120+'uses of fund by component'!C128+'uses of fund by component'!C129+'uses of fund by component'!C137+'uses of fund by component'!C138+'uses of fund by component'!C152+'uses of fund by component'!C154+'uses of fund by component'!C155+'uses of fund by component'!C156+'uses of fund by component'!C157+'uses of fund by component'!C159+'uses of fund by component'!C160</f>
        <v>2493.5141342756183</v>
      </c>
      <c r="F12" s="114"/>
    </row>
    <row r="13" spans="1:9" x14ac:dyDescent="0.3">
      <c r="A13" s="110"/>
      <c r="B13" s="110"/>
      <c r="C13" s="115"/>
      <c r="D13" s="120"/>
      <c r="E13" s="120"/>
      <c r="F13" s="114"/>
    </row>
    <row r="14" spans="1:9" ht="19.5" thickBot="1" x14ac:dyDescent="0.35">
      <c r="A14" s="110"/>
      <c r="B14" s="110"/>
      <c r="C14" s="110" t="s">
        <v>51</v>
      </c>
      <c r="D14" s="121">
        <f>D10+D12+E10+E12</f>
        <v>4861.0053003533576</v>
      </c>
      <c r="E14" s="120"/>
      <c r="F14" s="114"/>
    </row>
    <row r="15" spans="1:9" ht="19.5" thickTop="1" x14ac:dyDescent="0.3">
      <c r="A15" s="110"/>
      <c r="B15" s="110"/>
      <c r="C15" s="110"/>
      <c r="D15" s="120"/>
      <c r="E15" s="120"/>
      <c r="F15" s="114"/>
    </row>
    <row r="16" spans="1:9" ht="19.5" thickBot="1" x14ac:dyDescent="0.35">
      <c r="A16" s="110">
        <v>3</v>
      </c>
      <c r="B16" s="110"/>
      <c r="C16" s="110" t="s">
        <v>52</v>
      </c>
      <c r="D16" s="121"/>
      <c r="E16" s="120"/>
      <c r="F16" s="114"/>
    </row>
    <row r="17" spans="1:9" ht="19.5" thickTop="1" x14ac:dyDescent="0.3">
      <c r="A17" s="110"/>
      <c r="B17" s="110"/>
      <c r="C17" s="110"/>
      <c r="E17" s="116"/>
      <c r="F17" s="114"/>
    </row>
    <row r="18" spans="1:9" x14ac:dyDescent="0.3">
      <c r="A18" s="217" t="s">
        <v>53</v>
      </c>
      <c r="B18" s="217"/>
      <c r="C18" s="217"/>
      <c r="D18" s="217"/>
      <c r="E18" s="217"/>
      <c r="F18" s="114"/>
    </row>
    <row r="19" spans="1:9" ht="19.5" thickBot="1" x14ac:dyDescent="0.35">
      <c r="A19" s="110">
        <v>4</v>
      </c>
      <c r="B19" s="110"/>
      <c r="C19" s="110" t="s">
        <v>54</v>
      </c>
      <c r="D19" s="119"/>
      <c r="E19" s="123"/>
      <c r="F19" s="110"/>
      <c r="G19" s="110"/>
      <c r="H19" s="110"/>
      <c r="I19" s="110"/>
    </row>
    <row r="20" spans="1:9" ht="19.5" thickTop="1" x14ac:dyDescent="0.3">
      <c r="A20" s="110"/>
      <c r="B20" s="110"/>
      <c r="C20" s="110"/>
      <c r="D20" s="126"/>
      <c r="E20" s="123"/>
      <c r="F20" s="110"/>
      <c r="G20" s="110"/>
      <c r="H20" s="110"/>
      <c r="I20" s="110"/>
    </row>
    <row r="21" spans="1:9" ht="19.5" thickBot="1" x14ac:dyDescent="0.35">
      <c r="A21" s="110">
        <v>5</v>
      </c>
      <c r="B21" s="110"/>
      <c r="C21" s="110" t="s">
        <v>55</v>
      </c>
      <c r="D21" s="119">
        <v>0</v>
      </c>
      <c r="E21" s="123"/>
      <c r="F21" s="110"/>
      <c r="G21" s="110"/>
      <c r="H21" s="110"/>
      <c r="I21" s="110"/>
    </row>
    <row r="22" spans="1:9" ht="19.5" thickTop="1" x14ac:dyDescent="0.3">
      <c r="A22" s="110"/>
      <c r="B22" s="110"/>
      <c r="C22" s="110"/>
      <c r="D22" s="126"/>
      <c r="E22" s="123"/>
      <c r="F22" s="110"/>
      <c r="G22" s="110"/>
      <c r="H22" s="110"/>
      <c r="I22" s="110"/>
    </row>
    <row r="23" spans="1:9" ht="19.5" thickBot="1" x14ac:dyDescent="0.35">
      <c r="A23" s="110">
        <v>6</v>
      </c>
      <c r="B23" s="110"/>
      <c r="C23" s="110" t="s">
        <v>56</v>
      </c>
      <c r="D23" s="119"/>
      <c r="E23" s="123"/>
      <c r="F23" s="110"/>
      <c r="G23" s="110"/>
      <c r="H23" s="110"/>
      <c r="I23" s="110"/>
    </row>
    <row r="24" spans="1:9" ht="19.5" thickTop="1" x14ac:dyDescent="0.3">
      <c r="A24" s="110"/>
      <c r="B24" s="110"/>
      <c r="C24" s="110"/>
      <c r="D24" s="125"/>
      <c r="E24" s="123"/>
      <c r="F24" s="110"/>
      <c r="G24" s="110"/>
      <c r="H24" s="110"/>
      <c r="I24" s="110"/>
    </row>
    <row r="25" spans="1:9" ht="19.5" thickBot="1" x14ac:dyDescent="0.35">
      <c r="C25" s="110" t="s">
        <v>57</v>
      </c>
      <c r="D25" s="122">
        <f>D19+D21+D23</f>
        <v>0</v>
      </c>
      <c r="E25" s="123"/>
      <c r="F25" s="110"/>
      <c r="G25" s="110"/>
      <c r="H25" s="110"/>
      <c r="I25" s="110"/>
    </row>
    <row r="26" spans="1:9" ht="19.5" thickTop="1" x14ac:dyDescent="0.3">
      <c r="A26" s="217" t="s">
        <v>58</v>
      </c>
      <c r="B26" s="217"/>
      <c r="C26" s="217"/>
      <c r="D26" s="217"/>
      <c r="E26" s="217"/>
      <c r="F26" s="114"/>
    </row>
    <row r="27" spans="1:9" ht="19.5" thickBot="1" x14ac:dyDescent="0.35">
      <c r="A27" s="110">
        <v>7</v>
      </c>
      <c r="B27" s="110"/>
      <c r="C27" s="110" t="s">
        <v>58</v>
      </c>
      <c r="D27" s="122">
        <f>'uses of fund by component'!C98-'uses of fund by component'!C94-'uses of fund by component'!C52-'uses of fund by component'!C53-'uses of fund by component'!C54-'uses of fund by component'!C55-'uses of fund by component'!C57-'uses of fund by component'!C58+'uses of fund by component'!C39-'uses of fund by component'!C14+'uses of fund by component'!C116</f>
        <v>85140.270318021212</v>
      </c>
      <c r="E27" s="123"/>
      <c r="F27" s="114"/>
    </row>
    <row r="28" spans="1:9" ht="19.5" thickTop="1" x14ac:dyDescent="0.3">
      <c r="A28" s="110"/>
      <c r="B28" s="110"/>
      <c r="C28" s="110"/>
      <c r="D28" s="124"/>
      <c r="E28" s="123"/>
      <c r="F28" s="114"/>
    </row>
    <row r="29" spans="1:9" x14ac:dyDescent="0.3">
      <c r="A29" s="217" t="s">
        <v>59</v>
      </c>
      <c r="B29" s="217"/>
      <c r="C29" s="217"/>
      <c r="D29" s="217"/>
      <c r="E29" s="217"/>
      <c r="F29" s="114"/>
    </row>
    <row r="30" spans="1:9" ht="19.5" thickBot="1" x14ac:dyDescent="0.35">
      <c r="A30" s="110">
        <v>8</v>
      </c>
      <c r="C30" s="110" t="s">
        <v>60</v>
      </c>
      <c r="D30" s="122"/>
      <c r="E30" s="125"/>
    </row>
    <row r="31" spans="1:9" ht="19.5" thickTop="1" x14ac:dyDescent="0.3">
      <c r="A31" s="110"/>
      <c r="C31" s="110"/>
      <c r="D31" s="126"/>
      <c r="E31" s="125"/>
    </row>
    <row r="32" spans="1:9" x14ac:dyDescent="0.3">
      <c r="A32" s="217" t="s">
        <v>61</v>
      </c>
      <c r="B32" s="217"/>
      <c r="C32" s="217"/>
      <c r="D32" s="217"/>
      <c r="E32" s="217"/>
    </row>
    <row r="33" spans="1:6" ht="19.5" thickBot="1" x14ac:dyDescent="0.35">
      <c r="A33" s="110">
        <v>9</v>
      </c>
      <c r="C33" s="110" t="s">
        <v>62</v>
      </c>
      <c r="D33" s="122">
        <f>'uses of fund by component'!C42+'uses of fund by component'!C43+'uses of fund by component'!C44</f>
        <v>201413.42756183745</v>
      </c>
    </row>
    <row r="34" spans="1:6" ht="19.5" thickTop="1" x14ac:dyDescent="0.3">
      <c r="A34" s="110"/>
      <c r="C34" s="110"/>
    </row>
    <row r="35" spans="1:6" ht="19.7" customHeight="1" x14ac:dyDescent="0.3">
      <c r="A35" s="218" t="s">
        <v>63</v>
      </c>
      <c r="B35" s="218"/>
      <c r="C35" s="218"/>
      <c r="D35" s="218"/>
      <c r="E35" s="218"/>
    </row>
    <row r="36" spans="1:6" ht="19.5" thickBot="1" x14ac:dyDescent="0.35">
      <c r="A36" s="110">
        <v>10</v>
      </c>
      <c r="B36" s="117"/>
      <c r="C36" s="117" t="s">
        <v>64</v>
      </c>
      <c r="D36" s="128">
        <f>'uses of fund by component'!C186+'uses of fund by component'!C187+'uses of fund by component'!C188+'uses of fund by component'!C192</f>
        <v>0</v>
      </c>
      <c r="E36" s="114"/>
      <c r="F36" s="114"/>
    </row>
    <row r="37" spans="1:6" ht="19.5" thickTop="1" x14ac:dyDescent="0.3">
      <c r="A37" s="110"/>
      <c r="B37" s="117"/>
      <c r="C37" s="117"/>
      <c r="D37" s="118"/>
      <c r="E37" s="114"/>
      <c r="F37" s="114"/>
    </row>
    <row r="38" spans="1:6" x14ac:dyDescent="0.3">
      <c r="A38" s="217" t="s">
        <v>65</v>
      </c>
      <c r="B38" s="217"/>
      <c r="C38" s="217"/>
      <c r="D38" s="217"/>
      <c r="E38" s="217"/>
      <c r="F38" s="114"/>
    </row>
    <row r="39" spans="1:6" ht="19.5" thickBot="1" x14ac:dyDescent="0.35">
      <c r="A39" s="110">
        <v>11</v>
      </c>
      <c r="C39" s="110" t="s">
        <v>66</v>
      </c>
      <c r="D39" s="122">
        <f>'uses of fund by component'!C14+'uses of fund by component'!C54+'uses of fund by component'!C55+'uses of fund by component'!C57+'uses of fund by component'!C58+'uses of fund by component'!C119+'uses of fund by component'!C121+'uses of fund by component'!C122+'uses of fund by component'!C123+'uses of fund by component'!C124+'uses of fund by component'!C125+'uses of fund by component'!C126+'uses of fund by component'!C130+'uses of fund by component'!C131+'uses of fund by component'!C132+'uses of fund by component'!C133+'uses of fund by component'!C134+'uses of fund by component'!C135+'uses of fund by component'!C136+'uses of fund by component'!C139+'uses of fund by component'!C140+'uses of fund by component'!C141+'uses of fund by component'!C142+'uses of fund by component'!C143+'uses of fund by component'!C144+'uses of fund by component'!C145+'uses of fund by component'!C146+'uses of fund by component'!C148+'uses of fund by component'!C149+'uses of fund by component'!C150+'uses of fund by component'!C151+'uses of fund by component'!C161+'uses of fund by component'!C162+'uses of fund by component'!C163+'uses of fund by component'!C164+'uses of fund by component'!C166+'uses of fund by component'!C167+'uses of fund by component'!C168+'uses of fund by component'!C169+'uses of fund by component'!C170+'uses of fund by component'!C171+'uses of fund by component'!C172+'uses of fund by component'!C173+'uses of fund by component'!C174+'uses of fund by component'!C178+'uses of fund by component'!C179</f>
        <v>17453.97879858657</v>
      </c>
    </row>
    <row r="40" spans="1:6" ht="19.5" thickTop="1" x14ac:dyDescent="0.3">
      <c r="A40" s="110"/>
      <c r="C40" s="110"/>
    </row>
    <row r="41" spans="1:6" ht="19.5" thickBot="1" x14ac:dyDescent="0.35">
      <c r="A41" s="110">
        <v>12</v>
      </c>
      <c r="B41" s="110"/>
      <c r="C41" s="110" t="s">
        <v>67</v>
      </c>
      <c r="D41" s="122">
        <f>'uses of fund by component'!C94</f>
        <v>7000</v>
      </c>
      <c r="E41" s="110"/>
    </row>
    <row r="42" spans="1:6" ht="19.5" thickTop="1" x14ac:dyDescent="0.3">
      <c r="B42" s="110"/>
      <c r="E42" s="110"/>
      <c r="F42" s="146"/>
    </row>
    <row r="43" spans="1:6" ht="19.5" thickBot="1" x14ac:dyDescent="0.35">
      <c r="B43" s="110"/>
      <c r="C43" s="110" t="s">
        <v>68</v>
      </c>
      <c r="D43" s="122">
        <f>D6+D14+D16+D25+D27+D30+D33+D36+D39+D41</f>
        <v>315868.68197879859</v>
      </c>
      <c r="E43" s="183"/>
      <c r="F43" s="146"/>
    </row>
    <row r="44" spans="1:6" ht="19.5" thickTop="1" x14ac:dyDescent="0.3"/>
    <row r="45" spans="1:6" x14ac:dyDescent="0.3">
      <c r="D45" s="146">
        <f>'uses of fund by component'!C211</f>
        <v>315868.68197879859</v>
      </c>
    </row>
    <row r="46" spans="1:6" x14ac:dyDescent="0.3">
      <c r="D46" s="146"/>
    </row>
  </sheetData>
  <mergeCells count="9">
    <mergeCell ref="A32:E32"/>
    <mergeCell ref="A35:E35"/>
    <mergeCell ref="A38:E38"/>
    <mergeCell ref="A1:E1"/>
    <mergeCell ref="A2:E2"/>
    <mergeCell ref="A4:E4"/>
    <mergeCell ref="A18:E18"/>
    <mergeCell ref="A26:E26"/>
    <mergeCell ref="A29:E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Sources and Uses of Funds</vt:lpstr>
      <vt:lpstr>uses of fund by component</vt:lpstr>
      <vt:lpstr>Committed Fund by component</vt:lpstr>
      <vt:lpstr>NOTES </vt:lpstr>
      <vt:lpstr>'uses of fund by component'!Print_Titles</vt:lpstr>
    </vt:vector>
  </TitlesOfParts>
  <Company>TANROADS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2020-08-12T13:35:44Z</cp:lastPrinted>
  <dcterms:created xsi:type="dcterms:W3CDTF">2007-11-21T06:38:14Z</dcterms:created>
  <dcterms:modified xsi:type="dcterms:W3CDTF">2021-08-16T11:15:18Z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1358434020</vt:i4>
  </property>
  <property fmtid="{D5CDD505-2E9C-101B-9397-08002B2CF9AE}" pid="3" name="_EmailSubject">
    <vt:lpwstr>Proposed Financial  Schedules for the new CTCRP - TANROADS</vt:lpwstr>
  </property>
  <property fmtid="{D5CDD505-2E9C-101B-9397-08002B2CF9AE}" pid="4" name="_AuthorEmail">
    <vt:lpwstr>meritus.njeama@tanroads.org</vt:lpwstr>
  </property>
  <property fmtid="{D5CDD505-2E9C-101B-9397-08002B2CF9AE}" pid="5" name="_AuthorEmailDisplayName">
    <vt:lpwstr>meritus njeama</vt:lpwstr>
  </property>
  <property fmtid="{D5CDD505-2E9C-101B-9397-08002B2CF9AE}" pid="6" name="_ReviewingToolsShownOnce">
    <vt:lpwstr/>
  </property>
</Properties>
</file>