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 ACCOUNTING\WORLD BANK PROJECT\RCEEES\2021 IUFR\"/>
    </mc:Choice>
  </mc:AlternateContent>
  <bookViews>
    <workbookView xWindow="0" yWindow="0" windowWidth="20490" windowHeight="7065" activeTab="1"/>
  </bookViews>
  <sheets>
    <sheet name="Sources and Uses of Funds" sheetId="17" r:id="rId1"/>
    <sheet name="uses of fund by component" sheetId="8" r:id="rId2"/>
    <sheet name="Committed Fund by component" sheetId="10" r:id="rId3"/>
    <sheet name="NOTES " sheetId="16" r:id="rId4"/>
  </sheets>
  <definedNames>
    <definedName name="_xlnm.Print_Titles" localSheetId="1">'uses of fund by component'!$1:$4</definedName>
  </definedNames>
  <calcPr calcId="152511"/>
</workbook>
</file>

<file path=xl/calcChain.xml><?xml version="1.0" encoding="utf-8"?>
<calcChain xmlns="http://schemas.openxmlformats.org/spreadsheetml/2006/main">
  <c r="D14" i="16" l="1"/>
  <c r="D12" i="16"/>
  <c r="E12" i="16"/>
  <c r="C68" i="8"/>
  <c r="C59" i="8"/>
  <c r="C91" i="8"/>
  <c r="C280" i="8"/>
  <c r="C279" i="8"/>
  <c r="C278" i="8"/>
  <c r="D39" i="16" l="1"/>
  <c r="E31" i="17"/>
  <c r="C111" i="8"/>
  <c r="C109" i="8"/>
  <c r="C108" i="8"/>
  <c r="C107" i="8"/>
  <c r="C106" i="8"/>
  <c r="C105" i="8"/>
  <c r="C104" i="8"/>
  <c r="C87" i="8"/>
  <c r="C86" i="8"/>
  <c r="C85" i="8" l="1"/>
  <c r="C84" i="8"/>
  <c r="C83" i="8"/>
  <c r="C82" i="8"/>
  <c r="C55" i="8" l="1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64" i="8"/>
  <c r="C277" i="8"/>
  <c r="C276" i="8"/>
  <c r="C275" i="8"/>
  <c r="C274" i="8"/>
  <c r="C273" i="8"/>
  <c r="C272" i="8"/>
  <c r="C271" i="8"/>
  <c r="C270" i="8"/>
  <c r="C269" i="8"/>
  <c r="C268" i="8"/>
  <c r="C267" i="8"/>
  <c r="C266" i="8"/>
  <c r="C265" i="8"/>
  <c r="C264" i="8"/>
  <c r="C263" i="8"/>
  <c r="C262" i="8"/>
  <c r="C261" i="8"/>
  <c r="C260" i="8"/>
  <c r="C259" i="8"/>
  <c r="C258" i="8"/>
  <c r="C257" i="8"/>
  <c r="C256" i="8"/>
  <c r="C255" i="8"/>
  <c r="C254" i="8"/>
  <c r="C253" i="8"/>
  <c r="C252" i="8"/>
  <c r="C251" i="8"/>
  <c r="C250" i="8"/>
  <c r="C249" i="8"/>
  <c r="C248" i="8"/>
  <c r="C247" i="8"/>
  <c r="C246" i="8"/>
  <c r="C245" i="8"/>
  <c r="C244" i="8"/>
  <c r="C243" i="8"/>
  <c r="C242" i="8"/>
  <c r="C241" i="8"/>
  <c r="C240" i="8"/>
  <c r="C239" i="8"/>
  <c r="C238" i="8"/>
  <c r="C237" i="8"/>
  <c r="C236" i="8"/>
  <c r="C235" i="8"/>
  <c r="C234" i="8"/>
  <c r="C233" i="8"/>
  <c r="C232" i="8"/>
  <c r="C231" i="8"/>
  <c r="C230" i="8"/>
  <c r="C229" i="8"/>
  <c r="C228" i="8"/>
  <c r="C227" i="8"/>
  <c r="C226" i="8"/>
  <c r="C225" i="8"/>
  <c r="C224" i="8"/>
  <c r="C223" i="8"/>
  <c r="C222" i="8"/>
  <c r="C221" i="8"/>
  <c r="C220" i="8"/>
  <c r="C219" i="8"/>
  <c r="C218" i="8"/>
  <c r="C217" i="8"/>
  <c r="C216" i="8"/>
  <c r="C215" i="8"/>
  <c r="C214" i="8"/>
  <c r="C213" i="8"/>
  <c r="C212" i="8"/>
  <c r="C211" i="8"/>
  <c r="C210" i="8"/>
  <c r="C209" i="8"/>
  <c r="C208" i="8"/>
  <c r="C207" i="8"/>
  <c r="C206" i="8"/>
  <c r="C205" i="8"/>
  <c r="C204" i="8"/>
  <c r="C203" i="8"/>
  <c r="C202" i="8"/>
  <c r="C201" i="8"/>
  <c r="C200" i="8"/>
  <c r="C199" i="8"/>
  <c r="C198" i="8"/>
  <c r="C197" i="8"/>
  <c r="C196" i="8"/>
  <c r="C195" i="8"/>
  <c r="C194" i="8"/>
  <c r="C193" i="8"/>
  <c r="C192" i="8"/>
  <c r="C191" i="8"/>
  <c r="C190" i="8"/>
  <c r="C189" i="8"/>
  <c r="C188" i="8"/>
  <c r="C187" i="8"/>
  <c r="C186" i="8"/>
  <c r="C185" i="8"/>
  <c r="C184" i="8"/>
  <c r="C183" i="8"/>
  <c r="E10" i="16" l="1"/>
  <c r="C174" i="8" l="1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3" i="8"/>
  <c r="C152" i="8"/>
  <c r="C151" i="8"/>
  <c r="C150" i="8"/>
  <c r="C149" i="8"/>
  <c r="C148" i="8"/>
  <c r="C147" i="8"/>
  <c r="C146" i="8"/>
  <c r="C145" i="8" l="1"/>
  <c r="C144" i="8"/>
  <c r="C143" i="8"/>
  <c r="C142" i="8"/>
  <c r="C141" i="8"/>
  <c r="C140" i="8"/>
  <c r="C139" i="8"/>
  <c r="C138" i="8"/>
  <c r="C137" i="8"/>
  <c r="C136" i="8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D10" i="16" s="1"/>
  <c r="C121" i="8"/>
  <c r="C120" i="8"/>
  <c r="C119" i="8"/>
  <c r="C118" i="8"/>
  <c r="C117" i="8"/>
  <c r="C116" i="8"/>
  <c r="C115" i="8"/>
  <c r="C114" i="8"/>
  <c r="C78" i="8"/>
  <c r="C77" i="8"/>
  <c r="C76" i="8"/>
  <c r="C75" i="8"/>
  <c r="C74" i="8"/>
  <c r="C73" i="8"/>
  <c r="C72" i="8"/>
  <c r="C71" i="8"/>
  <c r="C63" i="8"/>
  <c r="C62" i="8"/>
  <c r="C18" i="8"/>
  <c r="C17" i="8"/>
  <c r="C16" i="8"/>
  <c r="C15" i="8"/>
  <c r="C14" i="8"/>
  <c r="C181" i="8"/>
  <c r="F21" i="17" l="1"/>
  <c r="F23" i="17"/>
  <c r="F15" i="17"/>
  <c r="E48" i="17" l="1"/>
  <c r="F48" i="17" s="1"/>
  <c r="E46" i="17"/>
  <c r="F46" i="17" s="1"/>
  <c r="D46" i="17"/>
  <c r="D48" i="17" s="1"/>
  <c r="E40" i="17"/>
  <c r="E38" i="17"/>
  <c r="E17" i="17"/>
  <c r="E23" i="17" s="1"/>
  <c r="D17" i="17"/>
  <c r="F17" i="17"/>
  <c r="D23" i="17" l="1"/>
  <c r="D59" i="8" l="1"/>
  <c r="D29" i="17" l="1"/>
  <c r="E29" i="17" s="1"/>
  <c r="F29" i="17" s="1"/>
  <c r="D25" i="16"/>
  <c r="C299" i="8"/>
  <c r="D33" i="17" s="1"/>
  <c r="E33" i="17" s="1"/>
  <c r="D27" i="17"/>
  <c r="E27" i="17" s="1"/>
  <c r="F27" i="17" s="1"/>
  <c r="D27" i="16" l="1"/>
  <c r="F33" i="17"/>
  <c r="D28" i="17" l="1"/>
  <c r="E28" i="17" s="1"/>
  <c r="F28" i="17" s="1"/>
  <c r="D33" i="16"/>
  <c r="D43" i="16" s="1"/>
  <c r="C101" i="8"/>
  <c r="D31" i="17"/>
  <c r="C282" i="8"/>
  <c r="D32" i="17" s="1"/>
  <c r="D282" i="8"/>
  <c r="E282" i="8"/>
  <c r="F282" i="8"/>
  <c r="G282" i="8"/>
  <c r="H282" i="8"/>
  <c r="D68" i="8"/>
  <c r="E68" i="8"/>
  <c r="F68" i="8"/>
  <c r="D22" i="10"/>
  <c r="D101" i="8"/>
  <c r="E18" i="10"/>
  <c r="E22" i="10" s="1"/>
  <c r="G22" i="10"/>
  <c r="F22" i="10"/>
  <c r="C22" i="10"/>
  <c r="C34" i="10" s="1"/>
  <c r="H22" i="10"/>
  <c r="D91" i="8"/>
  <c r="D111" i="8"/>
  <c r="D299" i="8"/>
  <c r="E101" i="8"/>
  <c r="G111" i="8"/>
  <c r="F111" i="8"/>
  <c r="G59" i="8"/>
  <c r="F59" i="8"/>
  <c r="F299" i="8"/>
  <c r="G299" i="8"/>
  <c r="G101" i="8"/>
  <c r="F101" i="8"/>
  <c r="G68" i="8"/>
  <c r="E111" i="8"/>
  <c r="E302" i="8"/>
  <c r="E303" i="8"/>
  <c r="E91" i="8"/>
  <c r="E299" i="8"/>
  <c r="H59" i="8"/>
  <c r="D305" i="8"/>
  <c r="C305" i="8"/>
  <c r="E59" i="8"/>
  <c r="E32" i="17" l="1"/>
  <c r="E35" i="17" s="1"/>
  <c r="E36" i="17" s="1"/>
  <c r="E49" i="17" s="1"/>
  <c r="D30" i="17"/>
  <c r="F30" i="17" s="1"/>
  <c r="F31" i="17"/>
  <c r="C310" i="8"/>
  <c r="D45" i="16" s="1"/>
  <c r="D34" i="10"/>
  <c r="E34" i="10" s="1"/>
  <c r="E305" i="8"/>
  <c r="H111" i="8"/>
  <c r="D310" i="8"/>
  <c r="D35" i="17" l="1"/>
  <c r="D39" i="17" s="1"/>
  <c r="D41" i="17" s="1"/>
  <c r="D50" i="17" s="1"/>
  <c r="F32" i="17"/>
  <c r="F35" i="17" s="1"/>
  <c r="E310" i="8"/>
  <c r="D36" i="17" l="1"/>
  <c r="D49" i="17" s="1"/>
  <c r="E39" i="17"/>
  <c r="E41" i="17" s="1"/>
  <c r="F41" i="17" s="1"/>
  <c r="F50" i="17" s="1"/>
  <c r="F39" i="17"/>
  <c r="F36" i="17"/>
  <c r="F49" i="17" s="1"/>
  <c r="E50" i="17" l="1"/>
</calcChain>
</file>

<file path=xl/sharedStrings.xml><?xml version="1.0" encoding="utf-8"?>
<sst xmlns="http://schemas.openxmlformats.org/spreadsheetml/2006/main" count="372" uniqueCount="248">
  <si>
    <t>Total</t>
  </si>
  <si>
    <t>Expenditure</t>
  </si>
  <si>
    <t>Sources of Fund</t>
  </si>
  <si>
    <t>Opening Cash Balance</t>
  </si>
  <si>
    <t>Add Receipts</t>
  </si>
  <si>
    <t>Total Financing</t>
  </si>
  <si>
    <t>Total Closing Cash Balance</t>
  </si>
  <si>
    <t>Actual</t>
  </si>
  <si>
    <t>Planned</t>
  </si>
  <si>
    <t>Variance</t>
  </si>
  <si>
    <t>Others</t>
  </si>
  <si>
    <t>Project</t>
  </si>
  <si>
    <t>Revised</t>
  </si>
  <si>
    <t>PAD</t>
  </si>
  <si>
    <t>Closing Balances</t>
  </si>
  <si>
    <t>Total Uses of Funds by Components</t>
  </si>
  <si>
    <t>Sub Total</t>
  </si>
  <si>
    <t>Explanation of</t>
  </si>
  <si>
    <t xml:space="preserve">PAD /Life of </t>
  </si>
  <si>
    <t>Financial Year End</t>
  </si>
  <si>
    <t>Cummulative for</t>
  </si>
  <si>
    <t xml:space="preserve">Cummulative for  </t>
  </si>
  <si>
    <t>Statement of Sources and Uses of Funds</t>
  </si>
  <si>
    <t>World Bank IDA Funds</t>
  </si>
  <si>
    <t>Uses of Funds (Breakdown)</t>
  </si>
  <si>
    <t xml:space="preserve">Grand Total Uses of Funds </t>
  </si>
  <si>
    <t xml:space="preserve">Less:  ACE Expenditure </t>
  </si>
  <si>
    <t>Government Funds</t>
  </si>
  <si>
    <t>(USD)</t>
  </si>
  <si>
    <t>Contingency</t>
  </si>
  <si>
    <t>2.0 LEARNING AND TEACHING ENVIRONMENT</t>
  </si>
  <si>
    <t>4.0 ACADEMIC PARTNERSHIP</t>
  </si>
  <si>
    <t>5.0 INDUSTRAIL PARTNERSHIP</t>
  </si>
  <si>
    <t>6.0 GOVERNANCE AND ADMINISTRATION</t>
  </si>
  <si>
    <t>7.0 CENTRE VISIBILITY</t>
  </si>
  <si>
    <t>Total Funds committed</t>
  </si>
  <si>
    <t>Committed Funds</t>
  </si>
  <si>
    <t>NB:</t>
  </si>
  <si>
    <t>* TOTAL USES OF FUNDS( Funds used + committed funds)</t>
  </si>
  <si>
    <t xml:space="preserve"> COMPLETION OF THE AGREED MILESTONES/TARGETS BEFORE PAYMENTS.</t>
  </si>
  <si>
    <t xml:space="preserve">COMMITTED FUNDS MEANS CONTRACT HAVE BEEN SIGNED AND AWAITING THE </t>
  </si>
  <si>
    <t xml:space="preserve">Expenditure Classificiation </t>
  </si>
  <si>
    <t>Consultant  and Travel Costs</t>
  </si>
  <si>
    <t>Consultant Costs, including project implementation and administration staff</t>
  </si>
  <si>
    <t>Travel, Accommodation,  and Per Diem</t>
  </si>
  <si>
    <t>Travel and Accomodation</t>
  </si>
  <si>
    <t xml:space="preserve">Per Diem </t>
  </si>
  <si>
    <t>i.</t>
  </si>
  <si>
    <t>International travel</t>
  </si>
  <si>
    <t>ii.</t>
  </si>
  <si>
    <t>Domestic travel</t>
  </si>
  <si>
    <t>Total (Travel, Accommodation, and Per Diem)</t>
  </si>
  <si>
    <t>Training and conference fees</t>
  </si>
  <si>
    <t>Goods and equipment</t>
  </si>
  <si>
    <t xml:space="preserve">Learning and Research Equipment </t>
  </si>
  <si>
    <t>Vehicles</t>
  </si>
  <si>
    <t>Other goods incl. reagents</t>
  </si>
  <si>
    <t>Total Goods and Equipment</t>
  </si>
  <si>
    <t>Scholarship Payments</t>
  </si>
  <si>
    <t>ACE Hosted Workshops and Seminars</t>
  </si>
  <si>
    <t>Workshops and Seminars</t>
  </si>
  <si>
    <t>Civil Works</t>
  </si>
  <si>
    <t>Civil works, including rehabilitation and new construction</t>
  </si>
  <si>
    <t>Marketing, Communication, and Recruitment</t>
  </si>
  <si>
    <t>Communication and Marketing, including website</t>
  </si>
  <si>
    <t>General Expenses</t>
  </si>
  <si>
    <t>Operating costs including utilities, banking fees etc.</t>
  </si>
  <si>
    <t xml:space="preserve">Other </t>
  </si>
  <si>
    <t>GRAND TOTAL</t>
  </si>
  <si>
    <t xml:space="preserve"> Regional Capacity Training</t>
  </si>
  <si>
    <t>Learning and Teaching Environment</t>
  </si>
  <si>
    <t>Regional Research Capacity Building</t>
  </si>
  <si>
    <t>Academic Partnership</t>
  </si>
  <si>
    <t>Industrial Partnership</t>
  </si>
  <si>
    <t>Governace and Administration</t>
  </si>
  <si>
    <t>Centre Visibility</t>
  </si>
  <si>
    <t>REGIONAL CENTRE FOR ENERGY AND ENVIRONMENTAL SUSTAINABILITY</t>
  </si>
  <si>
    <t>REGIONAL CENTER FOR ENERGY AND ENVIRONMENTAL SUSTAINABILITY</t>
  </si>
  <si>
    <t>1.0 REGIONAL CAPACITY TRAINING (MSc/PhD</t>
  </si>
  <si>
    <t>3.0 REGIONAL RESEARCH CAPACITY BUILDING</t>
  </si>
  <si>
    <t>Annex to IUFR: Notes on Expenditures</t>
  </si>
  <si>
    <t>AFRICA [FIRST] CENTERS OF EXCELLENCE FOR DEVELOPMENT
 IMPACT PROJECT (P164546)</t>
  </si>
  <si>
    <t>Director</t>
  </si>
  <si>
    <t>Dr. Eric Ofosu Antwi</t>
  </si>
  <si>
    <r>
      <t xml:space="preserve">Stephen Yaw Ntiamoah, </t>
    </r>
    <r>
      <rPr>
        <b/>
        <sz val="10"/>
        <rFont val="Arial"/>
        <family val="2"/>
      </rPr>
      <t>CA, CPFA</t>
    </r>
  </si>
  <si>
    <t>Semi-Annual Period ending 30th June 2021</t>
  </si>
  <si>
    <t>Payment for first tranche of research work</t>
  </si>
  <si>
    <t>Re-imbursement of Imprest</t>
  </si>
  <si>
    <t>Payment of tax on consultancy claim No. 4 contract for suervision of RCEES building</t>
  </si>
  <si>
    <t>Payment for Interim Certificate No. 3(IPC 3) to the contractor for RCEES Building</t>
  </si>
  <si>
    <t>Payment of salaries for RCEES staffs for the month of July,2021</t>
  </si>
  <si>
    <t>Payment of tax on salaries for RCEES staffs for the month of July,2021</t>
  </si>
  <si>
    <t>Payment of servicing and thorough maintenance work on centre vehicle</t>
  </si>
  <si>
    <t>Refund of spent amount on trips by staffs on the recent cource conducted in Freetown, Sierra Leone</t>
  </si>
  <si>
    <t>Refund for fuel to and from Kumasi</t>
  </si>
  <si>
    <t>Payment of Bording Ticket for the travel to Sierra Leone</t>
  </si>
  <si>
    <t>Per diem to Mr. Effah for a  short course in Energy Management</t>
  </si>
  <si>
    <t>Per diem to Mr. Asuamah for a  short course in Energy Management</t>
  </si>
  <si>
    <t>Mileage Cliam to Dr. Eric for a meeting with Bui Power Authority</t>
  </si>
  <si>
    <t>Per diem to Mr. Asuamah for attending a training on Energy Management Systems</t>
  </si>
  <si>
    <t>Per diem to Mr. Addo for driving Director to and from Kumasi for a meeting</t>
  </si>
  <si>
    <t>Payment of monthly stipends to Ghanaian students for the month of June, July and August, 2021</t>
  </si>
  <si>
    <t>Payment of monthly stipends to Foreign students for the month of  July and August, 2021</t>
  </si>
  <si>
    <t>Per diem to Esi Awuah as ISAB member to the centre on a wortking session</t>
  </si>
  <si>
    <t>Per diem to Prof. Andoh as ISAB member to the centre on a wortking session</t>
  </si>
  <si>
    <t>Refund of excess amount spent on the first tranche of reseach work</t>
  </si>
  <si>
    <t>Pyment for second tranche of research work</t>
  </si>
  <si>
    <t>Pyment for first tranche of research work</t>
  </si>
  <si>
    <t>Payment of salaries to RCEES staffs for the month of August, 2021</t>
  </si>
  <si>
    <t>Payment of tax on salaries to RCEES staffs for the month of August, 2021</t>
  </si>
  <si>
    <t>Payment of tax on consultancy services for External Audit for the year 2020 for RCEES- UENR</t>
  </si>
  <si>
    <t>Payment for consultancy services for External Audit for the year 2020 for RCEES- UENR</t>
  </si>
  <si>
    <t>Per diem to Dr. Antwi for a short course trainig for GIZ</t>
  </si>
  <si>
    <t>Per diem to Prof. Gyamfi for management of Bui Power Authority on a proposed establishment of a school at Bui</t>
  </si>
  <si>
    <t>Per diem to Mr. Addo for driving project staff  on a proposed establishment of a school at Bui</t>
  </si>
  <si>
    <t>Refund on fuel for Sunyani to Accra travel for the short training organized in Sierra Leone</t>
  </si>
  <si>
    <t>Per diem for flight to Accra on the 20-07-2021</t>
  </si>
  <si>
    <t xml:space="preserve">Payment for restaurant services and accommodation provided to the centre </t>
  </si>
  <si>
    <t xml:space="preserve">Payment of tax on restaurant services and accommodation provided to the centre </t>
  </si>
  <si>
    <t>Payment of tax on restaurant service provide for PASET and management meeting organized by the centre</t>
  </si>
  <si>
    <t>Payment for restaurant service provide for PASET and management meeting organized by the centre</t>
  </si>
  <si>
    <t>Payment for the repairs work on the centre's photocoy machine which was out of service</t>
  </si>
  <si>
    <t>Payment of tax on the repairs work on the centre's photocoy machine which was out of service</t>
  </si>
  <si>
    <t>Payment for restaurant service provide for PASET assessment and GIZ meeting organized by the centre</t>
  </si>
  <si>
    <t>Refund to Pro. Gyamfi for fuel purchased  for a meeting organized at Bui Power Authority in Accra</t>
  </si>
  <si>
    <t xml:space="preserve">Payment for the supply of Tonners to the centre </t>
  </si>
  <si>
    <t xml:space="preserve">Payment of tax on the supply of Tonners to the centre </t>
  </si>
  <si>
    <t>Payment for restaurant service provided for management meeting organized by the centre</t>
  </si>
  <si>
    <t>Payment of tax on restaurant service provided for management meeting organized by the centre</t>
  </si>
  <si>
    <t>Special Advance for fuel for Bui travelling</t>
  </si>
  <si>
    <t>Per diem to Prof. Gyamfi for a GTEC training</t>
  </si>
  <si>
    <t>Per diem to Mr. Ntiamoah for a GTEC training</t>
  </si>
  <si>
    <t>Per diem to Mr. Alhassan for driving project staff for a GTEC traing</t>
  </si>
  <si>
    <t>Per diem to Mr. addo for driving project staff for a GTEC traing</t>
  </si>
  <si>
    <t>Per diem to Mr. Abdulaii for a GTEC training</t>
  </si>
  <si>
    <t>Per diem to Mr. Okyereh for a GTEC training</t>
  </si>
  <si>
    <t>Per diem to Mr. Akpoti for a GTEC training</t>
  </si>
  <si>
    <t>Per diem to Mr. Antwi for a GTEC training</t>
  </si>
  <si>
    <t>Payment for servicing and thorough maintenance work on vehicle with registration number  GC-5810-20</t>
  </si>
  <si>
    <t>Accomodation for a workshop by GTEC at Koforidua 20th to 25 September, 2021</t>
  </si>
  <si>
    <t>Fuel to Koforidua for GTEC workshop on 20th to 25th September,2021</t>
  </si>
  <si>
    <t>Payment for transportation from Sunyani to Accra and covid text</t>
  </si>
  <si>
    <t>Per diem to Mr. Saddick for a GTEC training</t>
  </si>
  <si>
    <t>Paymentt of monthly stipend for foreign student for the month of September 2021</t>
  </si>
  <si>
    <t>Paymentt of monthly stipend for Ghanaian student for the month of September 2021</t>
  </si>
  <si>
    <t>Payment of Salaries to RCEES Staff for the month of September 2021</t>
  </si>
  <si>
    <t>Payment of  tax on Salaries to RCEES Staff for the month of September 2021</t>
  </si>
  <si>
    <t>Refund to UENR salary account</t>
  </si>
  <si>
    <t>Payment for second tranche of research work</t>
  </si>
  <si>
    <t>Per diem for travel to Sierra Leone</t>
  </si>
  <si>
    <t>Payment for Manuscript</t>
  </si>
  <si>
    <t>Charges on Manuscript payment</t>
  </si>
  <si>
    <t>Covid Test</t>
  </si>
  <si>
    <t>Payment for conference registration</t>
  </si>
  <si>
    <t>for the semi-annual period ending 31st December 2021</t>
  </si>
  <si>
    <t>Reimbursement of office imprest</t>
  </si>
  <si>
    <t>FM Responsible</t>
  </si>
  <si>
    <t>Per diem to Mr. Addo for picking up AAU-TV staff form Kumasi on Sunday to Sunyani</t>
  </si>
  <si>
    <t>Per diemto Mr. Yeboah for picking guests from AAU meeting held in Sunyani to Tamale</t>
  </si>
  <si>
    <t>Payment for third tranche of research funds</t>
  </si>
  <si>
    <t>Payment for second tranche of research funds</t>
  </si>
  <si>
    <t>Payment for the supply of Executive Swivel Chair</t>
  </si>
  <si>
    <t>Payment of tax on the supply of Executive Swivel Chair</t>
  </si>
  <si>
    <t>Payment for first tranche of research funds</t>
  </si>
  <si>
    <t>Payment for the supply of vehicle tyres</t>
  </si>
  <si>
    <t>Payment of tax on the supply of vehicle tyres</t>
  </si>
  <si>
    <t>Refund to Mr. Akowuah for AAU visitors who undertook a document for the centre and University</t>
  </si>
  <si>
    <t>Payment of tax on refund to Mr. Akowuah for AAU visitors who undertook a document for the centre and University</t>
  </si>
  <si>
    <t>Per diem  for Bootcamp on selection of student(Scholarship)</t>
  </si>
  <si>
    <t>Refund to Mrs. Khady for her flight cost to Senegal</t>
  </si>
  <si>
    <t>Refund for fuel purchased to pick up agric staff in Dormaa and transported them to the centre</t>
  </si>
  <si>
    <t>Payment of Book and Research allowance to RCEES staff for 2020/2021 Academic year</t>
  </si>
  <si>
    <t>Re-Imbursement of Imprest</t>
  </si>
  <si>
    <t>Payment of student stipends for October, 2021</t>
  </si>
  <si>
    <t>Payment of salaries to project staff for October, 2021</t>
  </si>
  <si>
    <t>Refund for accommdation and fuel purchased to attend a country round table organised by GTEC</t>
  </si>
  <si>
    <t>Special Advance for fuel</t>
  </si>
  <si>
    <t>Per diem to attend GTEC-ACE meeting in Accra</t>
  </si>
  <si>
    <t>Per diem to take director and coordinator to Accra for a meeting</t>
  </si>
  <si>
    <t>Payment for restaurant services provided during management meeting organised by the centre</t>
  </si>
  <si>
    <t>Per diem for training as digital education expert for the C-CODE project</t>
  </si>
  <si>
    <t>Refund on a network tool and microft keyboard purchased</t>
  </si>
  <si>
    <t>Per diem to take director to Accra for ACE meeting</t>
  </si>
  <si>
    <t>Refund for fligh booking for RCEES staff to partake in the ACE bootcamp in Accra</t>
  </si>
  <si>
    <t>Special Advance to purchase fuel for ACE bootcamp in Accra</t>
  </si>
  <si>
    <t>Per diem for driving  RCEES staff to Kumasi airport and back to Sunyani</t>
  </si>
  <si>
    <t>Tax on refund on a network tool and microft keyboard purchased as reference to cheque number 000504</t>
  </si>
  <si>
    <t>Payment of 7.5% withholding tax wrongly deducted from payment for restauran services provided during management meeting organised by the centre</t>
  </si>
  <si>
    <t>Per diem for a workshop on media strategy and website</t>
  </si>
  <si>
    <t>Special Advance for fuel for transporting students on a five-day data collection exercise on biomass feedstock for biogas plant design</t>
  </si>
  <si>
    <t>Per diem to driver for taking staff for data collection on biomass feedstock</t>
  </si>
  <si>
    <t>Per diem for data collection on biomass feedstock</t>
  </si>
  <si>
    <t>Payment for rehabilitation of worn-out stuffing chairs at RCEES</t>
  </si>
  <si>
    <t>Payment of tax on rehabilitation of worn-out stuffing chairs at RCEES</t>
  </si>
  <si>
    <t>Payment for restaurant services provide to the centre by UENR-Cafetaria</t>
  </si>
  <si>
    <t>Per diem to attend digital and Website workshop</t>
  </si>
  <si>
    <t>Per diem to pick Prof. Gyamfi from Kumasi airport back to Sunyani</t>
  </si>
  <si>
    <t>Per diem for Energy CEO, Vice Chancellor;s summit</t>
  </si>
  <si>
    <t>Per diem for training as a digital education expert for the C-Code project</t>
  </si>
  <si>
    <t xml:space="preserve">Per diem to attend a summit as a panel chair </t>
  </si>
  <si>
    <t>Payment of Salaries to RCEES Stff for the month of November, 2021</t>
  </si>
  <si>
    <t>Payment of Salaries to RCEES Stff for the month of November, 2022</t>
  </si>
  <si>
    <t>Payment of Salaries to RCEES Stff for the month of November, 2023</t>
  </si>
  <si>
    <t>Payment of Salaries to RCEES Stff for the month of November, 2024</t>
  </si>
  <si>
    <t>Payment of Salaries to RCEES Stff for the month of November, 2025</t>
  </si>
  <si>
    <t>Payment of Salaries to RCEES Stff for the month of November, 2026</t>
  </si>
  <si>
    <t>Special Advance for  field trip to Accra</t>
  </si>
  <si>
    <t>Refund for a Type charger purchased for a laptop</t>
  </si>
  <si>
    <t>Payment of tax on refund for a Type charger purchased for a laptop</t>
  </si>
  <si>
    <t>Refund of excess expenses incurred on returned flight tickets from Accra during the Energy submit</t>
  </si>
  <si>
    <t>Per diem for picking up facilitators and cionsultants for GIZ Solar Power Irrigation system training</t>
  </si>
  <si>
    <t>Per diem for driving students for a field trip</t>
  </si>
  <si>
    <t>Payment to Finance /Audit/Procument for the month of December, 2021</t>
  </si>
  <si>
    <t>Payment of salaries to RCEES staff for the month of December, 2021</t>
  </si>
  <si>
    <t>Payment of tax on salaries to RCEES staff for the month of December, 2021</t>
  </si>
  <si>
    <t>Payment to UENR- FUSSAG for the month of December, 2021</t>
  </si>
  <si>
    <t>Payment to UENR for the month of December, 2021</t>
  </si>
  <si>
    <t>Payment to UENR Credit Union for the month of December, 2021</t>
  </si>
  <si>
    <t>Payment for contract extention for consultancyservice for External Audit for the year 2020</t>
  </si>
  <si>
    <t>Payment of tax on contract extention for consultancyservice for External Audit for the year 2020</t>
  </si>
  <si>
    <t>Payment for servicing of photocopier machine</t>
  </si>
  <si>
    <t>Payment of tax on the servicing of photocopier machine</t>
  </si>
  <si>
    <t>Refund to Mr. Okyereh for fuel puechased for center's vehicle</t>
  </si>
  <si>
    <t>Per diem for Driver</t>
  </si>
  <si>
    <t>The schedule below provide additional details on expenditures summarized in the Sources and Uses of Funds covering the quarter ending 31st December 2021</t>
  </si>
  <si>
    <t>for the semi-annual ending 31st December, 2021</t>
  </si>
  <si>
    <t>Semi-Annual Period ending 31st December 2021</t>
  </si>
  <si>
    <t>Financial Year End (1st Jan.- 31st December 2021)</t>
  </si>
  <si>
    <t>Start of Project to Reporting date (2019- 31st December 2021)</t>
  </si>
  <si>
    <t>Semi-Annual  ending 31st December 2021</t>
  </si>
  <si>
    <t>for the semi-annual ending 31st December 2021</t>
  </si>
  <si>
    <t>Payment of transportation from Sunyani to Lome</t>
  </si>
  <si>
    <t>Payment for the use of facility for Bootcamp</t>
  </si>
  <si>
    <t>Payment of transportation from Ghana to Burkina- Faso</t>
  </si>
  <si>
    <t>Payment of transportation from Ghana to Benin</t>
  </si>
  <si>
    <t>Payment of stipend to project students for December, 2021</t>
  </si>
  <si>
    <t>Payment to Intercoast for return fight ticket purchased for students</t>
  </si>
  <si>
    <t>Payment for consultancy claim No. 4 contract for supervision of RCEES building</t>
  </si>
  <si>
    <t>Payment for third tranche of research work</t>
  </si>
  <si>
    <t>Per diem for industral  field trip with students</t>
  </si>
  <si>
    <t>Payment for publication</t>
  </si>
  <si>
    <t>Charges on transfer for publication</t>
  </si>
  <si>
    <t>Bank Charges</t>
  </si>
  <si>
    <t>Payment of student stipends for the month of November, 2021</t>
  </si>
  <si>
    <t>Refund for fight ticket purchased for project student</t>
  </si>
  <si>
    <t>Payment of transportation  and covid test for student</t>
  </si>
  <si>
    <t>Refund of accomodation in respect of student's industrial attachment supervision</t>
  </si>
  <si>
    <t>Accommodation for nine participant in Accra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</si>
</sst>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.00\ &quot;€&quot;_-;\-* #,##0.00\ &quot;€&quot;_-;_-* &quot;-&quot;??\ &quot;€&quot;_-;_-@_-"/>
    <numFmt numFmtId="167" formatCode="[$-40C]mmm\-yy;@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rgb="FF006100"/>
      <name val="Calibri"/>
      <family val="2"/>
      <scheme val="minor"/>
    </font>
    <font>
      <sz val="11"/>
      <color rgb="FF3F3F3F"/>
      <name val="Calibri"/>
      <family val="2"/>
      <scheme val="minor"/>
    </font>
    <font>
      <sz val="11"/>
      <color rgb="FF7F7F7F"/>
      <name val="Calibri"/>
      <family val="2"/>
      <scheme val="minor"/>
    </font>
    <font>
      <sz val="11"/>
      <color theme="3"/>
      <name val="Cambria"/>
      <family val="2"/>
      <scheme val="major"/>
    </font>
    <font>
      <b/>
      <sz val="18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9"/>
      <name val="Arial"/>
      <family val="2"/>
    </font>
    <font>
      <b/>
      <i/>
      <sz val="9"/>
      <name val="Arial"/>
      <family val="2"/>
    </font>
    <font>
      <sz val="11"/>
      <name val="Arial Narrow"/>
      <family val="2"/>
    </font>
    <font>
      <sz val="11"/>
      <name val="Arial"/>
      <family val="2"/>
    </font>
    <font>
      <b/>
      <sz val="12"/>
      <name val="Times New Roman"/>
      <family val="1"/>
    </font>
    <font>
      <sz val="11"/>
      <color theme="1"/>
      <name val="Arial Narrow"/>
      <family val="2"/>
    </font>
    <font>
      <b/>
      <sz val="14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9" fillId="0" borderId="0" applyNumberFormat="0" applyFill="0" applyBorder="0" applyAlignment="0" applyProtection="0"/>
    <xf numFmtId="0" fontId="14" fillId="0" borderId="32" applyNumberFormat="0" applyFill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7" fillId="10" borderId="34" applyNumberFormat="0" applyFon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167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2" fillId="7" borderId="0" applyNumberFormat="0" applyBorder="0" applyAlignment="0" applyProtection="0"/>
    <xf numFmtId="0" fontId="23" fillId="8" borderId="3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8" applyNumberFormat="0" applyFill="0" applyAlignment="0" applyProtection="0"/>
    <xf numFmtId="0" fontId="12" fillId="0" borderId="29" applyNumberFormat="0" applyFill="0" applyAlignment="0" applyProtection="0"/>
    <xf numFmtId="0" fontId="13" fillId="0" borderId="30" applyNumberFormat="0" applyFill="0" applyAlignment="0" applyProtection="0"/>
    <xf numFmtId="0" fontId="13" fillId="0" borderId="0" applyNumberFormat="0" applyFill="0" applyBorder="0" applyAlignment="0" applyProtection="0"/>
    <xf numFmtId="0" fontId="27" fillId="0" borderId="35" applyNumberFormat="0" applyFill="0" applyAlignment="0" applyProtection="0"/>
    <xf numFmtId="0" fontId="16" fillId="9" borderId="33" applyNumberFormat="0" applyAlignment="0" applyProtection="0"/>
    <xf numFmtId="165" fontId="2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2" borderId="11" xfId="0" applyFill="1" applyBorder="1"/>
    <xf numFmtId="0" fontId="0" fillId="2" borderId="5" xfId="0" applyFill="1" applyBorder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4" xfId="0" applyFont="1" applyBorder="1"/>
    <xf numFmtId="0" fontId="4" fillId="2" borderId="11" xfId="0" applyFont="1" applyFill="1" applyBorder="1"/>
    <xf numFmtId="0" fontId="4" fillId="0" borderId="17" xfId="0" applyFont="1" applyBorder="1"/>
    <xf numFmtId="0" fontId="8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18" xfId="0" applyFont="1" applyBorder="1" applyAlignment="1">
      <alignment horizontal="center"/>
    </xf>
    <xf numFmtId="43" fontId="0" fillId="0" borderId="8" xfId="0" applyNumberFormat="1" applyBorder="1"/>
    <xf numFmtId="43" fontId="0" fillId="0" borderId="6" xfId="0" applyNumberFormat="1" applyBorder="1"/>
    <xf numFmtId="0" fontId="4" fillId="0" borderId="18" xfId="0" applyFont="1" applyBorder="1"/>
    <xf numFmtId="0" fontId="4" fillId="0" borderId="22" xfId="0" applyFont="1" applyBorder="1" applyAlignment="1">
      <alignment horizontal="left"/>
    </xf>
    <xf numFmtId="43" fontId="4" fillId="0" borderId="19" xfId="0" applyNumberFormat="1" applyFont="1" applyBorder="1"/>
    <xf numFmtId="43" fontId="0" fillId="0" borderId="7" xfId="0" applyNumberFormat="1" applyBorder="1"/>
    <xf numFmtId="43" fontId="0" fillId="0" borderId="12" xfId="0" applyNumberFormat="1" applyBorder="1" applyAlignment="1">
      <alignment horizontal="right"/>
    </xf>
    <xf numFmtId="43" fontId="0" fillId="0" borderId="12" xfId="0" applyNumberFormat="1" applyBorder="1"/>
    <xf numFmtId="43" fontId="0" fillId="2" borderId="3" xfId="0" applyNumberFormat="1" applyFill="1" applyBorder="1"/>
    <xf numFmtId="43" fontId="0" fillId="0" borderId="6" xfId="0" applyNumberFormat="1" applyBorder="1" applyAlignment="1">
      <alignment horizontal="right"/>
    </xf>
    <xf numFmtId="43" fontId="4" fillId="0" borderId="12" xfId="1" applyNumberFormat="1" applyFont="1" applyBorder="1" applyAlignment="1">
      <alignment horizontal="right"/>
    </xf>
    <xf numFmtId="43" fontId="4" fillId="0" borderId="24" xfId="1" applyNumberFormat="1" applyFont="1" applyBorder="1"/>
    <xf numFmtId="43" fontId="4" fillId="0" borderId="12" xfId="1" applyNumberFormat="1" applyFont="1" applyBorder="1"/>
    <xf numFmtId="43" fontId="4" fillId="2" borderId="11" xfId="0" applyNumberFormat="1" applyFont="1" applyFill="1" applyBorder="1"/>
    <xf numFmtId="43" fontId="4" fillId="0" borderId="6" xfId="1" applyNumberFormat="1" applyFont="1" applyBorder="1"/>
    <xf numFmtId="0" fontId="3" fillId="0" borderId="2" xfId="0" applyFont="1" applyBorder="1"/>
    <xf numFmtId="43" fontId="4" fillId="0" borderId="12" xfId="0" applyNumberFormat="1" applyFont="1" applyBorder="1"/>
    <xf numFmtId="0" fontId="4" fillId="0" borderId="15" xfId="0" applyFont="1" applyBorder="1"/>
    <xf numFmtId="0" fontId="4" fillId="0" borderId="13" xfId="0" applyFont="1" applyBorder="1"/>
    <xf numFmtId="0" fontId="3" fillId="0" borderId="6" xfId="0" applyFont="1" applyBorder="1"/>
    <xf numFmtId="43" fontId="4" fillId="0" borderId="23" xfId="0" applyNumberFormat="1" applyFont="1" applyBorder="1"/>
    <xf numFmtId="0" fontId="4" fillId="0" borderId="20" xfId="0" applyFont="1" applyBorder="1"/>
    <xf numFmtId="0" fontId="4" fillId="0" borderId="21" xfId="0" applyFont="1" applyBorder="1"/>
    <xf numFmtId="3" fontId="3" fillId="0" borderId="6" xfId="0" applyNumberFormat="1" applyFont="1" applyBorder="1"/>
    <xf numFmtId="0" fontId="3" fillId="0" borderId="0" xfId="0" applyFont="1" applyBorder="1"/>
    <xf numFmtId="43" fontId="4" fillId="0" borderId="6" xfId="0" applyNumberFormat="1" applyFont="1" applyBorder="1"/>
    <xf numFmtId="3" fontId="3" fillId="0" borderId="6" xfId="0" applyNumberFormat="1" applyFont="1" applyFill="1" applyBorder="1"/>
    <xf numFmtId="43" fontId="0" fillId="0" borderId="7" xfId="0" applyNumberFormat="1" applyBorder="1" applyAlignment="1">
      <alignment horizontal="right"/>
    </xf>
    <xf numFmtId="0" fontId="4" fillId="0" borderId="6" xfId="0" applyFont="1" applyBorder="1"/>
    <xf numFmtId="43" fontId="3" fillId="0" borderId="6" xfId="1" applyNumberFormat="1" applyFont="1" applyBorder="1"/>
    <xf numFmtId="0" fontId="4" fillId="0" borderId="26" xfId="0" applyFont="1" applyBorder="1"/>
    <xf numFmtId="43" fontId="4" fillId="0" borderId="27" xfId="1" applyNumberFormat="1" applyFont="1" applyBorder="1"/>
    <xf numFmtId="43" fontId="3" fillId="0" borderId="6" xfId="0" applyNumberFormat="1" applyFont="1" applyBorder="1"/>
    <xf numFmtId="43" fontId="4" fillId="0" borderId="19" xfId="1" applyNumberFormat="1" applyFont="1" applyBorder="1"/>
    <xf numFmtId="0" fontId="4" fillId="0" borderId="6" xfId="0" applyFont="1" applyFill="1" applyBorder="1"/>
    <xf numFmtId="43" fontId="0" fillId="3" borderId="6" xfId="0" applyNumberFormat="1" applyFill="1" applyBorder="1"/>
    <xf numFmtId="43" fontId="4" fillId="0" borderId="19" xfId="1" applyNumberFormat="1" applyFont="1" applyBorder="1" applyAlignment="1">
      <alignment horizontal="right"/>
    </xf>
    <xf numFmtId="43" fontId="4" fillId="0" borderId="6" xfId="1" applyNumberFormat="1" applyFont="1" applyBorder="1" applyAlignment="1">
      <alignment horizontal="right"/>
    </xf>
    <xf numFmtId="0" fontId="0" fillId="5" borderId="6" xfId="0" applyFill="1" applyBorder="1"/>
    <xf numFmtId="43" fontId="0" fillId="5" borderId="6" xfId="0" applyNumberFormat="1" applyFill="1" applyBorder="1"/>
    <xf numFmtId="43" fontId="0" fillId="5" borderId="0" xfId="0" applyNumberFormat="1" applyFill="1" applyBorder="1"/>
    <xf numFmtId="0" fontId="6" fillId="3" borderId="0" xfId="0" applyFont="1" applyFill="1"/>
    <xf numFmtId="0" fontId="0" fillId="3" borderId="0" xfId="0" applyFill="1"/>
    <xf numFmtId="0" fontId="6" fillId="3" borderId="16" xfId="0" applyFont="1" applyFill="1" applyBorder="1"/>
    <xf numFmtId="0" fontId="0" fillId="3" borderId="16" xfId="0" applyFill="1" applyBorder="1"/>
    <xf numFmtId="0" fontId="3" fillId="3" borderId="0" xfId="0" applyFont="1" applyFill="1"/>
    <xf numFmtId="0" fontId="4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1" xfId="0" applyFill="1" applyBorder="1"/>
    <xf numFmtId="0" fontId="0" fillId="3" borderId="4" xfId="0" applyFill="1" applyBorder="1"/>
    <xf numFmtId="0" fontId="0" fillId="3" borderId="5" xfId="0" applyFill="1" applyBorder="1"/>
    <xf numFmtId="0" fontId="4" fillId="3" borderId="6" xfId="0" applyFont="1" applyFill="1" applyBorder="1" applyAlignment="1">
      <alignment horizontal="left"/>
    </xf>
    <xf numFmtId="0" fontId="0" fillId="3" borderId="6" xfId="0" applyFill="1" applyBorder="1"/>
    <xf numFmtId="0" fontId="3" fillId="3" borderId="6" xfId="0" applyFont="1" applyFill="1" applyBorder="1"/>
    <xf numFmtId="43" fontId="0" fillId="3" borderId="6" xfId="1" applyNumberFormat="1" applyFont="1" applyFill="1" applyBorder="1"/>
    <xf numFmtId="0" fontId="4" fillId="3" borderId="6" xfId="0" applyFont="1" applyFill="1" applyBorder="1"/>
    <xf numFmtId="43" fontId="4" fillId="3" borderId="6" xfId="1" applyNumberFormat="1" applyFont="1" applyFill="1" applyBorder="1" applyAlignment="1">
      <alignment horizontal="right"/>
    </xf>
    <xf numFmtId="43" fontId="4" fillId="3" borderId="6" xfId="0" applyNumberFormat="1" applyFont="1" applyFill="1" applyBorder="1"/>
    <xf numFmtId="43" fontId="4" fillId="3" borderId="6" xfId="1" applyNumberFormat="1" applyFont="1" applyFill="1" applyBorder="1"/>
    <xf numFmtId="43" fontId="3" fillId="3" borderId="6" xfId="1" applyNumberFormat="1" applyFont="1" applyFill="1" applyBorder="1"/>
    <xf numFmtId="0" fontId="0" fillId="0" borderId="18" xfId="0" applyFill="1" applyBorder="1"/>
    <xf numFmtId="0" fontId="3" fillId="0" borderId="18" xfId="0" applyFont="1" applyBorder="1"/>
    <xf numFmtId="0" fontId="3" fillId="0" borderId="8" xfId="0" applyFont="1" applyFill="1" applyBorder="1"/>
    <xf numFmtId="0" fontId="4" fillId="6" borderId="6" xfId="0" applyFont="1" applyFill="1" applyBorder="1"/>
    <xf numFmtId="0" fontId="0" fillId="6" borderId="6" xfId="0" applyFill="1" applyBorder="1"/>
    <xf numFmtId="0" fontId="4" fillId="6" borderId="7" xfId="0" applyFont="1" applyFill="1" applyBorder="1"/>
    <xf numFmtId="43" fontId="4" fillId="6" borderId="6" xfId="0" applyNumberFormat="1" applyFont="1" applyFill="1" applyBorder="1"/>
    <xf numFmtId="0" fontId="10" fillId="6" borderId="6" xfId="0" applyFont="1" applyFill="1" applyBorder="1"/>
    <xf numFmtId="43" fontId="11" fillId="6" borderId="6" xfId="0" applyNumberFormat="1" applyFont="1" applyFill="1" applyBorder="1"/>
    <xf numFmtId="165" fontId="0" fillId="0" borderId="0" xfId="0" applyNumberFormat="1"/>
    <xf numFmtId="0" fontId="30" fillId="0" borderId="0" xfId="0" applyFont="1"/>
    <xf numFmtId="0" fontId="31" fillId="0" borderId="0" xfId="0" applyFont="1"/>
    <xf numFmtId="3" fontId="31" fillId="0" borderId="0" xfId="0" applyNumberFormat="1" applyFont="1" applyBorder="1"/>
    <xf numFmtId="0" fontId="30" fillId="0" borderId="0" xfId="0" applyFont="1" applyBorder="1"/>
    <xf numFmtId="3" fontId="32" fillId="36" borderId="0" xfId="0" applyNumberFormat="1" applyFont="1" applyFill="1" applyAlignment="1">
      <alignment horizontal="left" vertical="top" wrapText="1"/>
    </xf>
    <xf numFmtId="3" fontId="31" fillId="0" borderId="0" xfId="0" applyNumberFormat="1" applyFont="1"/>
    <xf numFmtId="0" fontId="33" fillId="0" borderId="0" xfId="0" applyFont="1"/>
    <xf numFmtId="3" fontId="31" fillId="0" borderId="0" xfId="0" applyNumberFormat="1" applyFont="1" applyAlignment="1">
      <alignment horizontal="right"/>
    </xf>
    <xf numFmtId="0" fontId="31" fillId="0" borderId="0" xfId="0" applyFont="1" applyFill="1"/>
    <xf numFmtId="3" fontId="31" fillId="0" borderId="0" xfId="0" applyNumberFormat="1" applyFont="1" applyFill="1" applyBorder="1"/>
    <xf numFmtId="43" fontId="30" fillId="0" borderId="36" xfId="1" applyFont="1" applyBorder="1"/>
    <xf numFmtId="43" fontId="31" fillId="0" borderId="0" xfId="1" applyFont="1" applyAlignment="1">
      <alignment horizontal="right"/>
    </xf>
    <xf numFmtId="43" fontId="31" fillId="0" borderId="36" xfId="1" applyFont="1" applyBorder="1" applyAlignment="1">
      <alignment horizontal="right"/>
    </xf>
    <xf numFmtId="43" fontId="31" fillId="0" borderId="36" xfId="1" applyFont="1" applyBorder="1"/>
    <xf numFmtId="43" fontId="31" fillId="0" borderId="0" xfId="1" applyFont="1"/>
    <xf numFmtId="43" fontId="31" fillId="0" borderId="0" xfId="1" applyFont="1" applyBorder="1"/>
    <xf numFmtId="43" fontId="30" fillId="0" borderId="0" xfId="1" applyFont="1"/>
    <xf numFmtId="43" fontId="30" fillId="0" borderId="0" xfId="1" applyFont="1" applyBorder="1"/>
    <xf numFmtId="43" fontId="30" fillId="0" borderId="0" xfId="1" applyFont="1" applyAlignment="1">
      <alignment horizontal="right"/>
    </xf>
    <xf numFmtId="43" fontId="31" fillId="0" borderId="36" xfId="1" applyFont="1" applyFill="1" applyBorder="1"/>
    <xf numFmtId="165" fontId="0" fillId="0" borderId="6" xfId="0" applyNumberFormat="1" applyBorder="1"/>
    <xf numFmtId="43" fontId="0" fillId="2" borderId="0" xfId="0" applyNumberFormat="1" applyFill="1" applyBorder="1"/>
    <xf numFmtId="43" fontId="0" fillId="0" borderId="25" xfId="0" applyNumberFormat="1" applyBorder="1"/>
    <xf numFmtId="43" fontId="4" fillId="0" borderId="15" xfId="0" applyNumberFormat="1" applyFont="1" applyBorder="1"/>
    <xf numFmtId="0" fontId="0" fillId="2" borderId="4" xfId="0" applyFill="1" applyBorder="1"/>
    <xf numFmtId="43" fontId="4" fillId="6" borderId="25" xfId="0" applyNumberFormat="1" applyFont="1" applyFill="1" applyBorder="1"/>
    <xf numFmtId="0" fontId="0" fillId="0" borderId="7" xfId="0" applyBorder="1"/>
    <xf numFmtId="43" fontId="0" fillId="0" borderId="15" xfId="0" applyNumberFormat="1" applyBorder="1"/>
    <xf numFmtId="165" fontId="0" fillId="0" borderId="22" xfId="0" applyNumberFormat="1" applyBorder="1"/>
    <xf numFmtId="165" fontId="4" fillId="0" borderId="22" xfId="0" applyNumberFormat="1" applyFont="1" applyBorder="1"/>
    <xf numFmtId="43" fontId="4" fillId="0" borderId="7" xfId="0" applyNumberFormat="1" applyFont="1" applyBorder="1"/>
    <xf numFmtId="43" fontId="4" fillId="0" borderId="22" xfId="0" applyNumberFormat="1" applyFont="1" applyBorder="1"/>
    <xf numFmtId="165" fontId="4" fillId="0" borderId="7" xfId="0" applyNumberFormat="1" applyFont="1" applyBorder="1"/>
    <xf numFmtId="0" fontId="34" fillId="4" borderId="8" xfId="0" applyFont="1" applyFill="1" applyBorder="1"/>
    <xf numFmtId="43" fontId="35" fillId="4" borderId="6" xfId="0" applyNumberFormat="1" applyFont="1" applyFill="1" applyBorder="1"/>
    <xf numFmtId="165" fontId="35" fillId="4" borderId="6" xfId="0" applyNumberFormat="1" applyFont="1" applyFill="1" applyBorder="1"/>
    <xf numFmtId="0" fontId="3" fillId="0" borderId="18" xfId="0" applyFont="1" applyBorder="1" applyAlignment="1">
      <alignment horizontal="center" wrapText="1"/>
    </xf>
    <xf numFmtId="43" fontId="30" fillId="0" borderId="0" xfId="0" applyNumberFormat="1" applyFont="1"/>
    <xf numFmtId="0" fontId="4" fillId="0" borderId="2" xfId="0" applyFont="1" applyBorder="1" applyAlignment="1">
      <alignment horizontal="center"/>
    </xf>
    <xf numFmtId="43" fontId="36" fillId="0" borderId="6" xfId="1" applyFont="1" applyBorder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25" xfId="0" applyFont="1" applyBorder="1"/>
    <xf numFmtId="3" fontId="3" fillId="0" borderId="0" xfId="0" applyNumberFormat="1" applyFont="1" applyBorder="1"/>
    <xf numFmtId="43" fontId="3" fillId="0" borderId="18" xfId="0" applyNumberFormat="1" applyFont="1" applyBorder="1"/>
    <xf numFmtId="0" fontId="3" fillId="0" borderId="19" xfId="0" applyFont="1" applyBorder="1"/>
    <xf numFmtId="0" fontId="3" fillId="2" borderId="11" xfId="0" applyFont="1" applyFill="1" applyBorder="1"/>
    <xf numFmtId="43" fontId="3" fillId="2" borderId="3" xfId="0" applyNumberFormat="1" applyFont="1" applyFill="1" applyBorder="1"/>
    <xf numFmtId="0" fontId="3" fillId="2" borderId="3" xfId="0" applyFont="1" applyFill="1" applyBorder="1"/>
    <xf numFmtId="43" fontId="3" fillId="0" borderId="7" xfId="0" applyNumberFormat="1" applyFont="1" applyBorder="1"/>
    <xf numFmtId="43" fontId="3" fillId="2" borderId="6" xfId="0" applyNumberFormat="1" applyFont="1" applyFill="1" applyBorder="1"/>
    <xf numFmtId="0" fontId="3" fillId="2" borderId="6" xfId="0" applyFont="1" applyFill="1" applyBorder="1"/>
    <xf numFmtId="43" fontId="3" fillId="0" borderId="18" xfId="0" applyNumberFormat="1" applyFont="1" applyFill="1" applyBorder="1"/>
    <xf numFmtId="43" fontId="3" fillId="0" borderId="3" xfId="0" applyNumberFormat="1" applyFont="1" applyFill="1" applyBorder="1"/>
    <xf numFmtId="43" fontId="3" fillId="0" borderId="6" xfId="0" applyNumberFormat="1" applyFont="1" applyFill="1" applyBorder="1"/>
    <xf numFmtId="0" fontId="3" fillId="0" borderId="6" xfId="0" applyFont="1" applyFill="1" applyBorder="1"/>
    <xf numFmtId="43" fontId="3" fillId="0" borderId="6" xfId="1" applyNumberFormat="1" applyFont="1" applyFill="1" applyBorder="1"/>
    <xf numFmtId="43" fontId="3" fillId="0" borderId="12" xfId="0" applyNumberFormat="1" applyFont="1" applyBorder="1"/>
    <xf numFmtId="0" fontId="3" fillId="0" borderId="15" xfId="0" applyFont="1" applyBorder="1"/>
    <xf numFmtId="0" fontId="3" fillId="0" borderId="13" xfId="0" applyFont="1" applyBorder="1"/>
    <xf numFmtId="0" fontId="37" fillId="0" borderId="6" xfId="0" applyFont="1" applyFill="1" applyBorder="1" applyAlignment="1"/>
    <xf numFmtId="43" fontId="37" fillId="0" borderId="6" xfId="1" applyFont="1" applyFill="1" applyBorder="1" applyAlignment="1"/>
    <xf numFmtId="43" fontId="3" fillId="0" borderId="19" xfId="0" applyNumberFormat="1" applyFont="1" applyBorder="1"/>
    <xf numFmtId="0" fontId="3" fillId="0" borderId="21" xfId="0" applyFont="1" applyBorder="1"/>
    <xf numFmtId="0" fontId="3" fillId="0" borderId="12" xfId="0" applyFont="1" applyBorder="1"/>
    <xf numFmtId="43" fontId="4" fillId="0" borderId="6" xfId="1" applyNumberFormat="1" applyFont="1" applyFill="1" applyBorder="1"/>
    <xf numFmtId="0" fontId="3" fillId="0" borderId="0" xfId="0" applyFont="1" applyFill="1"/>
    <xf numFmtId="43" fontId="31" fillId="0" borderId="0" xfId="0" applyNumberFormat="1" applyFont="1"/>
    <xf numFmtId="43" fontId="36" fillId="0" borderId="6" xfId="1" applyFont="1" applyFill="1" applyBorder="1" applyAlignment="1">
      <alignment horizontal="left"/>
    </xf>
    <xf numFmtId="43" fontId="4" fillId="0" borderId="7" xfId="1" applyNumberFormat="1" applyFont="1" applyBorder="1"/>
    <xf numFmtId="43" fontId="39" fillId="0" borderId="6" xfId="0" applyNumberFormat="1" applyFont="1" applyFill="1" applyBorder="1"/>
    <xf numFmtId="43" fontId="3" fillId="0" borderId="37" xfId="0" applyNumberFormat="1" applyFont="1" applyBorder="1"/>
    <xf numFmtId="43" fontId="3" fillId="0" borderId="6" xfId="1" applyFont="1" applyFill="1" applyBorder="1"/>
    <xf numFmtId="43" fontId="36" fillId="0" borderId="6" xfId="0" applyNumberFormat="1" applyFont="1" applyFill="1" applyBorder="1"/>
    <xf numFmtId="0" fontId="4" fillId="0" borderId="2" xfId="0" applyFont="1" applyBorder="1" applyAlignment="1">
      <alignment horizontal="center"/>
    </xf>
    <xf numFmtId="43" fontId="39" fillId="0" borderId="0" xfId="1" applyFont="1" applyFill="1" applyAlignment="1">
      <alignment horizontal="left" wrapText="1"/>
    </xf>
    <xf numFmtId="0" fontId="3" fillId="0" borderId="37" xfId="0" applyFont="1" applyBorder="1"/>
    <xf numFmtId="43" fontId="39" fillId="0" borderId="6" xfId="1" applyFont="1" applyFill="1" applyBorder="1" applyAlignment="1">
      <alignment horizontal="left" wrapText="1"/>
    </xf>
    <xf numFmtId="0" fontId="39" fillId="0" borderId="6" xfId="0" applyFont="1" applyBorder="1" applyAlignment="1"/>
    <xf numFmtId="0" fontId="3" fillId="0" borderId="2" xfId="0" applyFont="1" applyBorder="1" applyAlignment="1">
      <alignment horizontal="center" wrapText="1"/>
    </xf>
    <xf numFmtId="43" fontId="4" fillId="0" borderId="12" xfId="1" applyNumberFormat="1" applyFont="1" applyFill="1" applyBorder="1" applyAlignment="1">
      <alignment horizontal="right"/>
    </xf>
    <xf numFmtId="43" fontId="3" fillId="0" borderId="7" xfId="0" applyNumberFormat="1" applyFont="1" applyFill="1" applyBorder="1"/>
    <xf numFmtId="43" fontId="39" fillId="0" borderId="0" xfId="1" applyFont="1" applyFill="1" applyAlignment="1">
      <alignment horizontal="left"/>
    </xf>
    <xf numFmtId="43" fontId="39" fillId="0" borderId="0" xfId="1" quotePrefix="1" applyFont="1" applyFill="1" applyAlignment="1">
      <alignment horizontal="left"/>
    </xf>
    <xf numFmtId="0" fontId="39" fillId="0" borderId="0" xfId="0" applyFont="1" applyBorder="1" applyAlignment="1"/>
    <xf numFmtId="0" fontId="36" fillId="0" borderId="6" xfId="0" applyFont="1" applyFill="1" applyBorder="1" applyAlignment="1"/>
    <xf numFmtId="43" fontId="36" fillId="0" borderId="6" xfId="1" applyFont="1" applyFill="1" applyBorder="1" applyAlignment="1"/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1" fillId="36" borderId="0" xfId="0" applyFont="1" applyFill="1" applyAlignment="1">
      <alignment horizontal="left"/>
    </xf>
    <xf numFmtId="0" fontId="31" fillId="36" borderId="0" xfId="0" applyFont="1" applyFill="1" applyAlignment="1">
      <alignment horizontal="left" vertical="top"/>
    </xf>
    <xf numFmtId="0" fontId="29" fillId="35" borderId="0" xfId="0" applyFont="1" applyFill="1" applyAlignment="1">
      <alignment horizontal="center"/>
    </xf>
    <xf numFmtId="0" fontId="31" fillId="0" borderId="0" xfId="0" applyFont="1" applyAlignment="1">
      <alignment horizontal="left" wrapText="1"/>
    </xf>
    <xf numFmtId="0" fontId="39" fillId="0" borderId="0" xfId="0" applyFont="1" applyAlignment="1"/>
    <xf numFmtId="43" fontId="40" fillId="0" borderId="36" xfId="1" applyFont="1" applyBorder="1"/>
    <xf numFmtId="43" fontId="36" fillId="0" borderId="0" xfId="1" applyFont="1" applyFill="1" applyBorder="1" applyAlignment="1">
      <alignment horizontal="left"/>
    </xf>
    <xf numFmtId="43" fontId="36" fillId="0" borderId="0" xfId="1" applyFont="1" applyAlignment="1"/>
    <xf numFmtId="43" fontId="36" fillId="0" borderId="0" xfId="1" applyFont="1" applyFill="1" applyAlignment="1">
      <alignment horizontal="left"/>
    </xf>
    <xf numFmtId="43" fontId="36" fillId="0" borderId="6" xfId="1" quotePrefix="1" applyFont="1" applyFill="1" applyBorder="1" applyAlignment="1">
      <alignment horizontal="left"/>
    </xf>
    <xf numFmtId="43" fontId="36" fillId="0" borderId="6" xfId="1" applyFont="1" applyFill="1" applyBorder="1" applyAlignment="1">
      <alignment horizontal="left" wrapText="1"/>
    </xf>
    <xf numFmtId="0" fontId="36" fillId="0" borderId="6" xfId="0" applyFont="1" applyBorder="1" applyAlignment="1"/>
  </cellXfs>
  <cellStyles count="134">
    <cellStyle name="20 % - Accent1 2" xfId="6"/>
    <cellStyle name="20 % - Accent2 2" xfId="7"/>
    <cellStyle name="20 % - Accent3 2" xfId="8"/>
    <cellStyle name="20 % - Accent4 2" xfId="9"/>
    <cellStyle name="20 % - Accent5 2" xfId="10"/>
    <cellStyle name="20 % - Accent6 2" xfId="11"/>
    <cellStyle name="40 % - Accent1 2" xfId="12"/>
    <cellStyle name="40 % - Accent2 2" xfId="13"/>
    <cellStyle name="40 % - Accent3 2" xfId="14"/>
    <cellStyle name="40 % - Accent4 2" xfId="15"/>
    <cellStyle name="40 % - Accent5 2" xfId="16"/>
    <cellStyle name="40 % - Accent6 2" xfId="17"/>
    <cellStyle name="60 % - Accent1 2" xfId="18"/>
    <cellStyle name="60 % - Accent2 2" xfId="19"/>
    <cellStyle name="60 % - Accent3 2" xfId="20"/>
    <cellStyle name="60 % - Accent4 2" xfId="21"/>
    <cellStyle name="60 % - Accent5 2" xfId="22"/>
    <cellStyle name="60 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Avertissement 2" xfId="30"/>
    <cellStyle name="Cellule liée 2" xfId="31"/>
    <cellStyle name="Comma" xfId="1" builtinId="3"/>
    <cellStyle name="Comma 2" xfId="128"/>
    <cellStyle name="Comma 3" xfId="130"/>
    <cellStyle name="Comma 4" xfId="133"/>
    <cellStyle name="Commentaire 2" xfId="32"/>
    <cellStyle name="Commentaire 3" xfId="33"/>
    <cellStyle name="Commentaire 4" xfId="34"/>
    <cellStyle name="Commentaire 5" xfId="35"/>
    <cellStyle name="Commentaire 6" xfId="36"/>
    <cellStyle name="Currency 2" xfId="3"/>
    <cellStyle name="Currency 3" xfId="131"/>
    <cellStyle name="Euro" xfId="37"/>
    <cellStyle name="Euro 10" xfId="38"/>
    <cellStyle name="Euro 11" xfId="39"/>
    <cellStyle name="Euro 12" xfId="40"/>
    <cellStyle name="Euro 13" xfId="41"/>
    <cellStyle name="Euro 13 2" xfId="42"/>
    <cellStyle name="Euro 14" xfId="43"/>
    <cellStyle name="Euro 15" xfId="44"/>
    <cellStyle name="Euro 16" xfId="45"/>
    <cellStyle name="Euro 17" xfId="46"/>
    <cellStyle name="Euro 2" xfId="47"/>
    <cellStyle name="Euro 2 2" xfId="48"/>
    <cellStyle name="Euro 3" xfId="49"/>
    <cellStyle name="Euro 3 2" xfId="50"/>
    <cellStyle name="Euro 4" xfId="51"/>
    <cellStyle name="Euro 4 2" xfId="52"/>
    <cellStyle name="Euro 5" xfId="53"/>
    <cellStyle name="Euro 6" xfId="54"/>
    <cellStyle name="Euro 6 2" xfId="55"/>
    <cellStyle name="Euro 7" xfId="56"/>
    <cellStyle name="Euro 8" xfId="57"/>
    <cellStyle name="Euro 9" xfId="58"/>
    <cellStyle name="Lien hypertexte 2" xfId="59"/>
    <cellStyle name="Lien hypertexte 2 2" xfId="60"/>
    <cellStyle name="Lien hypertexte 2 3 2" xfId="61"/>
    <cellStyle name="Lien hypertexte 3" xfId="62"/>
    <cellStyle name="Normal" xfId="0" builtinId="0"/>
    <cellStyle name="Normal 10" xfId="63"/>
    <cellStyle name="Normal 11" xfId="129"/>
    <cellStyle name="Normal 11 2" xfId="64"/>
    <cellStyle name="Normal 12" xfId="65"/>
    <cellStyle name="Normal 13" xfId="132"/>
    <cellStyle name="Normal 14" xfId="66"/>
    <cellStyle name="Normal 14 2" xfId="67"/>
    <cellStyle name="Normal 15" xfId="68"/>
    <cellStyle name="Normal 16" xfId="69"/>
    <cellStyle name="Normal 16 2" xfId="70"/>
    <cellStyle name="Normal 19" xfId="71"/>
    <cellStyle name="Normal 2" xfId="2"/>
    <cellStyle name="Normal 2 10" xfId="72"/>
    <cellStyle name="Normal 2 2" xfId="73"/>
    <cellStyle name="Normal 2 3" xfId="74"/>
    <cellStyle name="Normal 2 4" xfId="75"/>
    <cellStyle name="Normal 2 5" xfId="76"/>
    <cellStyle name="Normal 2 6" xfId="77"/>
    <cellStyle name="Normal 2 7" xfId="78"/>
    <cellStyle name="Normal 2 8" xfId="79"/>
    <cellStyle name="Normal 2 9" xfId="80"/>
    <cellStyle name="Normal 3" xfId="81"/>
    <cellStyle name="Normal 3 2" xfId="82"/>
    <cellStyle name="Normal 3 3" xfId="83"/>
    <cellStyle name="Normal 3 4" xfId="84"/>
    <cellStyle name="Normal 3 5" xfId="85"/>
    <cellStyle name="Normal 3 6" xfId="86"/>
    <cellStyle name="Normal 3 7" xfId="87"/>
    <cellStyle name="Normal 3 8" xfId="88"/>
    <cellStyle name="Normal 32" xfId="89"/>
    <cellStyle name="Normal 4" xfId="90"/>
    <cellStyle name="Normal 4 2" xfId="91"/>
    <cellStyle name="Normal 4 2 2" xfId="92"/>
    <cellStyle name="Normal 4 3" xfId="93"/>
    <cellStyle name="Normal 4 4" xfId="94"/>
    <cellStyle name="Normal 4 5" xfId="95"/>
    <cellStyle name="Normal 4 6" xfId="96"/>
    <cellStyle name="Normal 4 7" xfId="97"/>
    <cellStyle name="Normal 4 8" xfId="98"/>
    <cellStyle name="Normal 5" xfId="99"/>
    <cellStyle name="Normal 5 2" xfId="100"/>
    <cellStyle name="Normal 5 3" xfId="101"/>
    <cellStyle name="Normal 5 4" xfId="102"/>
    <cellStyle name="Normal 5 5" xfId="103"/>
    <cellStyle name="Normal 5 6" xfId="104"/>
    <cellStyle name="Normal 5 7" xfId="105"/>
    <cellStyle name="Normal 5 8" xfId="106"/>
    <cellStyle name="Normal 6" xfId="107"/>
    <cellStyle name="Normal 6 2" xfId="108"/>
    <cellStyle name="Normal 6 3" xfId="109"/>
    <cellStyle name="Normal 6 4" xfId="110"/>
    <cellStyle name="Normal 63" xfId="111"/>
    <cellStyle name="Normal 66" xfId="112"/>
    <cellStyle name="Normal 7" xfId="113"/>
    <cellStyle name="Normal 7 2" xfId="114"/>
    <cellStyle name="Normal 7 3" xfId="115"/>
    <cellStyle name="Normal 8" xfId="116"/>
    <cellStyle name="Normal 9" xfId="5"/>
    <cellStyle name="Normal 9 2" xfId="117"/>
    <cellStyle name="Percent 2" xfId="4"/>
    <cellStyle name="Satisfaisant 2" xfId="118"/>
    <cellStyle name="Sortie 2" xfId="119"/>
    <cellStyle name="Texte explicatif 2" xfId="120"/>
    <cellStyle name="Titre 2" xfId="121"/>
    <cellStyle name="Titre 1 2" xfId="122"/>
    <cellStyle name="Titre 2 2" xfId="123"/>
    <cellStyle name="Titre 3 2" xfId="124"/>
    <cellStyle name="Titre 4 2" xfId="125"/>
    <cellStyle name="Total 2" xfId="126"/>
    <cellStyle name="Vérification 2" xfId="127"/>
  </cellStyles>
  <dxfs count="0"/>
  <tableStyles count="0" defaultTableStyle="TableStyleMedium9" defaultPivotStyle="PivotStyleLight16"/>
  <colors>
    <mruColors>
      <color rgb="FF80008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5"/>
  <sheetViews>
    <sheetView topLeftCell="C1" workbookViewId="0">
      <selection activeCell="F21" sqref="F21"/>
    </sheetView>
  </sheetViews>
  <sheetFormatPr defaultRowHeight="12.75" x14ac:dyDescent="0.2"/>
  <cols>
    <col min="3" max="3" width="59.85546875" customWidth="1"/>
    <col min="4" max="4" width="22.5703125" customWidth="1"/>
    <col min="5" max="5" width="27" customWidth="1"/>
    <col min="6" max="6" width="28" customWidth="1"/>
    <col min="8" max="8" width="10.28515625" bestFit="1" customWidth="1"/>
  </cols>
  <sheetData>
    <row r="1" spans="3:14" x14ac:dyDescent="0.2">
      <c r="C1" s="203" t="s">
        <v>76</v>
      </c>
      <c r="D1" s="204"/>
      <c r="E1" s="204"/>
      <c r="F1" s="205"/>
    </row>
    <row r="2" spans="3:14" ht="15.75" x14ac:dyDescent="0.25">
      <c r="C2" s="206" t="s">
        <v>81</v>
      </c>
      <c r="D2" s="207"/>
      <c r="E2" s="207"/>
      <c r="F2" s="208"/>
      <c r="H2" s="209"/>
      <c r="I2" s="209"/>
      <c r="J2" s="209"/>
      <c r="K2" s="209"/>
      <c r="L2" s="209"/>
      <c r="M2" s="209"/>
      <c r="N2" s="209"/>
    </row>
    <row r="3" spans="3:14" ht="15.75" x14ac:dyDescent="0.25">
      <c r="C3" s="203" t="s">
        <v>22</v>
      </c>
      <c r="D3" s="204"/>
      <c r="E3" s="204"/>
      <c r="F3" s="205"/>
      <c r="H3" s="210"/>
      <c r="I3" s="209"/>
      <c r="J3" s="209"/>
      <c r="K3" s="209"/>
      <c r="L3" s="209"/>
      <c r="M3" s="209"/>
      <c r="N3" s="209"/>
    </row>
    <row r="4" spans="3:14" x14ac:dyDescent="0.2">
      <c r="C4" s="200" t="s">
        <v>225</v>
      </c>
      <c r="D4" s="201"/>
      <c r="E4" s="201"/>
      <c r="F4" s="202"/>
    </row>
    <row r="7" spans="3:14" x14ac:dyDescent="0.2">
      <c r="C7" s="2"/>
      <c r="D7" s="2"/>
      <c r="E7" s="23"/>
      <c r="F7" s="23"/>
      <c r="G7" s="1"/>
    </row>
    <row r="8" spans="3:14" x14ac:dyDescent="0.2">
      <c r="C8" s="6"/>
      <c r="D8" s="6"/>
      <c r="E8" s="24" t="s">
        <v>21</v>
      </c>
      <c r="F8" s="24" t="s">
        <v>20</v>
      </c>
      <c r="G8" s="1"/>
    </row>
    <row r="9" spans="3:14" ht="38.25" x14ac:dyDescent="0.2">
      <c r="C9" s="187" t="s">
        <v>2</v>
      </c>
      <c r="D9" s="192" t="s">
        <v>226</v>
      </c>
      <c r="E9" s="143" t="s">
        <v>227</v>
      </c>
      <c r="F9" s="143" t="s">
        <v>228</v>
      </c>
      <c r="G9" s="1"/>
    </row>
    <row r="10" spans="3:14" x14ac:dyDescent="0.2">
      <c r="C10" s="13"/>
      <c r="D10" s="13"/>
      <c r="E10" s="25"/>
      <c r="F10" s="24"/>
      <c r="G10" s="1"/>
    </row>
    <row r="11" spans="3:14" x14ac:dyDescent="0.2">
      <c r="C11" s="9"/>
      <c r="D11" s="9"/>
      <c r="E11" s="8"/>
      <c r="F11" s="8"/>
    </row>
    <row r="12" spans="3:14" x14ac:dyDescent="0.2">
      <c r="C12" s="15" t="s">
        <v>3</v>
      </c>
      <c r="D12" s="26">
        <v>-7801.54</v>
      </c>
      <c r="E12" s="26"/>
      <c r="F12" s="7"/>
    </row>
    <row r="13" spans="3:14" x14ac:dyDescent="0.2">
      <c r="C13" s="3"/>
      <c r="D13" s="27"/>
      <c r="E13" s="27"/>
      <c r="F13" s="7"/>
    </row>
    <row r="14" spans="3:14" x14ac:dyDescent="0.2">
      <c r="C14" s="19" t="s">
        <v>27</v>
      </c>
      <c r="D14" s="27"/>
      <c r="E14" s="27"/>
      <c r="F14" s="7"/>
    </row>
    <row r="15" spans="3:14" x14ac:dyDescent="0.2">
      <c r="C15" s="3" t="s">
        <v>23</v>
      </c>
      <c r="D15" s="31"/>
      <c r="E15" s="127"/>
      <c r="F15" s="127">
        <f>1447537.24+E15</f>
        <v>1447537.24</v>
      </c>
    </row>
    <row r="16" spans="3:14" ht="13.5" thickBot="1" x14ac:dyDescent="0.25">
      <c r="C16" s="3" t="s">
        <v>10</v>
      </c>
      <c r="D16" s="31"/>
      <c r="E16" s="31"/>
      <c r="F16" s="133"/>
    </row>
    <row r="17" spans="3:6" ht="13.5" thickBot="1" x14ac:dyDescent="0.25">
      <c r="C17" s="16" t="s">
        <v>0</v>
      </c>
      <c r="D17" s="32">
        <f>SUM(D12:D16)</f>
        <v>-7801.54</v>
      </c>
      <c r="E17" s="134">
        <f>SUM(E12:E16)</f>
        <v>0</v>
      </c>
      <c r="F17" s="135">
        <f>F15</f>
        <v>1447537.24</v>
      </c>
    </row>
    <row r="18" spans="3:6" x14ac:dyDescent="0.2">
      <c r="C18" s="10"/>
      <c r="D18" s="34"/>
      <c r="E18" s="34"/>
      <c r="F18" s="128"/>
    </row>
    <row r="19" spans="3:6" x14ac:dyDescent="0.2">
      <c r="C19" s="15" t="s">
        <v>4</v>
      </c>
      <c r="D19" s="27"/>
      <c r="E19" s="27"/>
      <c r="F19" s="7"/>
    </row>
    <row r="20" spans="3:6" x14ac:dyDescent="0.2">
      <c r="C20" s="19" t="s">
        <v>27</v>
      </c>
      <c r="D20" s="27"/>
      <c r="E20" s="27"/>
      <c r="F20" s="7"/>
    </row>
    <row r="21" spans="3:6" x14ac:dyDescent="0.2">
      <c r="C21" s="3" t="s">
        <v>23</v>
      </c>
      <c r="D21" s="127">
        <v>340296</v>
      </c>
      <c r="E21" s="127">
        <v>340296</v>
      </c>
      <c r="F21" s="129">
        <f>E21</f>
        <v>340296</v>
      </c>
    </row>
    <row r="22" spans="3:6" ht="13.5" thickBot="1" x14ac:dyDescent="0.25">
      <c r="C22" s="3" t="s">
        <v>10</v>
      </c>
      <c r="D22" s="31"/>
      <c r="E22" s="31"/>
      <c r="F22" s="133"/>
    </row>
    <row r="23" spans="3:6" ht="13.5" thickBot="1" x14ac:dyDescent="0.25">
      <c r="C23" s="16" t="s">
        <v>5</v>
      </c>
      <c r="D23" s="33">
        <f>SUM(D17:D22)</f>
        <v>332494.46000000002</v>
      </c>
      <c r="E23" s="134">
        <f>SUM(E17:E22)</f>
        <v>340296</v>
      </c>
      <c r="F23" s="136">
        <f>F15+F21</f>
        <v>1787833.24</v>
      </c>
    </row>
    <row r="24" spans="3:6" x14ac:dyDescent="0.2">
      <c r="C24" s="17"/>
      <c r="D24" s="34"/>
      <c r="E24" s="34"/>
      <c r="F24" s="128"/>
    </row>
    <row r="25" spans="3:6" x14ac:dyDescent="0.2">
      <c r="C25" s="15" t="s">
        <v>26</v>
      </c>
      <c r="D25" s="27"/>
      <c r="E25" s="27"/>
      <c r="F25" s="7"/>
    </row>
    <row r="26" spans="3:6" x14ac:dyDescent="0.2">
      <c r="C26" s="3"/>
      <c r="D26" s="27"/>
      <c r="E26" s="27"/>
      <c r="F26" s="7"/>
    </row>
    <row r="27" spans="3:6" x14ac:dyDescent="0.2">
      <c r="C27" s="41" t="s">
        <v>69</v>
      </c>
      <c r="D27" s="27">
        <f>'uses of fund by component'!C59</f>
        <v>52989.137323943665</v>
      </c>
      <c r="E27" s="27">
        <f>40462.8091872791+D27</f>
        <v>93451.946511222763</v>
      </c>
      <c r="F27" s="127">
        <f>254766.813095939+E27</f>
        <v>348218.75960716174</v>
      </c>
    </row>
    <row r="28" spans="3:6" x14ac:dyDescent="0.2">
      <c r="C28" s="41" t="s">
        <v>70</v>
      </c>
      <c r="D28" s="27">
        <f>'uses of fund by component'!C68</f>
        <v>191489.55105633801</v>
      </c>
      <c r="E28" s="27">
        <f>201413.427561837+D28</f>
        <v>392902.97861817502</v>
      </c>
      <c r="F28" s="127">
        <f>469321.380014722+E28</f>
        <v>862224.35863289703</v>
      </c>
    </row>
    <row r="29" spans="3:6" x14ac:dyDescent="0.2">
      <c r="C29" s="41" t="s">
        <v>71</v>
      </c>
      <c r="D29" s="27">
        <f>'uses of fund by component'!C91</f>
        <v>22934.209999999995</v>
      </c>
      <c r="E29" s="27">
        <f>53176.2190812721+D29</f>
        <v>76110.429081272101</v>
      </c>
      <c r="F29" s="127">
        <f>45317.2438596491+E29</f>
        <v>121427.6729409212</v>
      </c>
    </row>
    <row r="30" spans="3:6" x14ac:dyDescent="0.2">
      <c r="C30" s="41" t="s">
        <v>72</v>
      </c>
      <c r="D30" s="35">
        <f>'uses of fund by component'!C101</f>
        <v>0</v>
      </c>
      <c r="E30" s="27">
        <v>0</v>
      </c>
      <c r="F30" s="127">
        <f>4662.30769230769+E30</f>
        <v>4662.3076923076896</v>
      </c>
    </row>
    <row r="31" spans="3:6" x14ac:dyDescent="0.2">
      <c r="C31" s="41" t="s">
        <v>73</v>
      </c>
      <c r="D31" s="35">
        <f>'uses of fund by component'!C111</f>
        <v>1757.0404929577467</v>
      </c>
      <c r="E31" s="27">
        <f>636.042402826855+D31</f>
        <v>2393.0828957846015</v>
      </c>
      <c r="F31" s="127">
        <f>17623.5860630597+E31</f>
        <v>20016.668958844304</v>
      </c>
    </row>
    <row r="32" spans="3:6" x14ac:dyDescent="0.2">
      <c r="C32" s="41" t="s">
        <v>74</v>
      </c>
      <c r="D32" s="53">
        <f>'uses of fund by component'!C282</f>
        <v>77236.993098591585</v>
      </c>
      <c r="E32" s="27">
        <f>20180.183745583+D32</f>
        <v>97417.176844174581</v>
      </c>
      <c r="F32" s="127">
        <f>326925.105774751+E32</f>
        <v>424342.28261892556</v>
      </c>
    </row>
    <row r="33" spans="2:8" x14ac:dyDescent="0.2">
      <c r="B33" s="5"/>
      <c r="C33" s="50" t="s">
        <v>75</v>
      </c>
      <c r="D33" s="27">
        <f>'uses of fund by component'!C299</f>
        <v>0</v>
      </c>
      <c r="E33" s="27">
        <f t="shared" ref="E33" si="0">D33</f>
        <v>0</v>
      </c>
      <c r="F33" s="127">
        <f>20853.6639160839+E33</f>
        <v>20853.6639160839</v>
      </c>
    </row>
    <row r="34" spans="2:8" x14ac:dyDescent="0.2">
      <c r="B34" s="5"/>
      <c r="C34" s="50"/>
      <c r="D34" s="27"/>
      <c r="E34" s="27"/>
      <c r="F34" s="7"/>
    </row>
    <row r="35" spans="2:8" s="12" customFormat="1" ht="13.5" thickBot="1" x14ac:dyDescent="0.25">
      <c r="C35" s="18" t="s">
        <v>15</v>
      </c>
      <c r="D35" s="30">
        <f>SUM(D27:D33)</f>
        <v>346406.93197183101</v>
      </c>
      <c r="E35" s="137">
        <f>SUM(E27:E33)</f>
        <v>662275.61395062914</v>
      </c>
      <c r="F35" s="139">
        <f>SUM(F27:F34)</f>
        <v>1801745.7143671419</v>
      </c>
    </row>
    <row r="36" spans="2:8" ht="13.5" thickBot="1" x14ac:dyDescent="0.25">
      <c r="C36" s="16" t="s">
        <v>14</v>
      </c>
      <c r="D36" s="130">
        <f>D35</f>
        <v>346406.93197183101</v>
      </c>
      <c r="E36" s="138">
        <f>E35</f>
        <v>662275.61395062914</v>
      </c>
      <c r="F36" s="136">
        <f>F35</f>
        <v>1801745.7143671419</v>
      </c>
    </row>
    <row r="37" spans="2:8" x14ac:dyDescent="0.2">
      <c r="C37" s="64"/>
      <c r="D37" s="65"/>
      <c r="E37" s="66"/>
      <c r="F37" s="66"/>
    </row>
    <row r="38" spans="2:8" x14ac:dyDescent="0.2">
      <c r="C38" s="19" t="s">
        <v>27</v>
      </c>
      <c r="D38" s="27"/>
      <c r="E38" s="27">
        <f>D38</f>
        <v>0</v>
      </c>
      <c r="F38" s="7"/>
    </row>
    <row r="39" spans="2:8" x14ac:dyDescent="0.2">
      <c r="C39" s="3" t="s">
        <v>23</v>
      </c>
      <c r="D39" s="27">
        <f>D23-D35</f>
        <v>-13912.471971830993</v>
      </c>
      <c r="E39" s="27">
        <f>D17+E21-D35</f>
        <v>-13912.471971830993</v>
      </c>
      <c r="F39" s="129">
        <f>F23-F35</f>
        <v>-13912.474367141956</v>
      </c>
      <c r="H39" s="106"/>
    </row>
    <row r="40" spans="2:8" ht="13.5" thickBot="1" x14ac:dyDescent="0.25">
      <c r="C40" s="3" t="s">
        <v>10</v>
      </c>
      <c r="D40" s="27"/>
      <c r="E40" s="27">
        <f t="shared" ref="E40" si="1">D40</f>
        <v>0</v>
      </c>
      <c r="F40" s="7"/>
    </row>
    <row r="41" spans="2:8" s="12" customFormat="1" ht="13.5" thickBot="1" x14ac:dyDescent="0.25">
      <c r="C41" s="16" t="s">
        <v>6</v>
      </c>
      <c r="D41" s="42">
        <f>SUM(D37:D40)</f>
        <v>-13912.471971830993</v>
      </c>
      <c r="E41" s="42">
        <f>E39</f>
        <v>-13912.471971830993</v>
      </c>
      <c r="F41" s="130">
        <f>E41</f>
        <v>-13912.471971830993</v>
      </c>
    </row>
    <row r="42" spans="2:8" x14ac:dyDescent="0.2">
      <c r="C42" s="3"/>
      <c r="D42" s="5"/>
      <c r="E42" s="4"/>
      <c r="F42" s="7"/>
    </row>
    <row r="43" spans="2:8" x14ac:dyDescent="0.2">
      <c r="C43" s="10"/>
      <c r="D43" s="11"/>
      <c r="E43" s="11"/>
      <c r="F43" s="131"/>
    </row>
    <row r="44" spans="2:8" x14ac:dyDescent="0.2">
      <c r="C44" s="102" t="s">
        <v>36</v>
      </c>
      <c r="D44" s="101"/>
      <c r="E44" s="101"/>
      <c r="F44" s="101"/>
    </row>
    <row r="45" spans="2:8" x14ac:dyDescent="0.2">
      <c r="C45" s="97"/>
      <c r="D45" s="7"/>
      <c r="E45" s="7"/>
      <c r="F45" s="7"/>
    </row>
    <row r="46" spans="2:8" x14ac:dyDescent="0.2">
      <c r="C46" s="98" t="s">
        <v>41</v>
      </c>
      <c r="D46" s="27">
        <f>'Committed Fund by component'!C22</f>
        <v>0</v>
      </c>
      <c r="E46" s="27">
        <f>'Committed Fund by component'!D22</f>
        <v>0</v>
      </c>
      <c r="F46" s="27">
        <f>E46</f>
        <v>0</v>
      </c>
    </row>
    <row r="47" spans="2:8" x14ac:dyDescent="0.2">
      <c r="C47" s="98"/>
      <c r="D47" s="7"/>
      <c r="E47" s="7"/>
      <c r="F47" s="7"/>
    </row>
    <row r="48" spans="2:8" x14ac:dyDescent="0.2">
      <c r="C48" s="99" t="s">
        <v>35</v>
      </c>
      <c r="D48" s="51">
        <f>D46</f>
        <v>0</v>
      </c>
      <c r="E48" s="51">
        <f>E46</f>
        <v>0</v>
      </c>
      <c r="F48" s="27">
        <f>E48</f>
        <v>0</v>
      </c>
    </row>
    <row r="49" spans="3:6" x14ac:dyDescent="0.2">
      <c r="C49" s="140" t="s">
        <v>38</v>
      </c>
      <c r="D49" s="141">
        <f>D36+D48</f>
        <v>346406.93197183101</v>
      </c>
      <c r="E49" s="141">
        <f>E36+E48</f>
        <v>662275.61395062914</v>
      </c>
      <c r="F49" s="142">
        <f>F36+F48</f>
        <v>1801745.7143671419</v>
      </c>
    </row>
    <row r="50" spans="3:6" x14ac:dyDescent="0.2">
      <c r="C50" s="100" t="s">
        <v>14</v>
      </c>
      <c r="D50" s="103">
        <f>D41-D48</f>
        <v>-13912.471971830993</v>
      </c>
      <c r="E50" s="103">
        <f>E41-E48</f>
        <v>-13912.471971830993</v>
      </c>
      <c r="F50" s="132">
        <f>F41-F48</f>
        <v>-13912.471971830993</v>
      </c>
    </row>
    <row r="54" spans="3:6" x14ac:dyDescent="0.2">
      <c r="C54" t="s">
        <v>82</v>
      </c>
      <c r="D54" t="s">
        <v>156</v>
      </c>
    </row>
    <row r="55" spans="3:6" x14ac:dyDescent="0.2">
      <c r="C55" t="s">
        <v>83</v>
      </c>
      <c r="D55" s="147" t="s">
        <v>84</v>
      </c>
    </row>
  </sheetData>
  <mergeCells count="6">
    <mergeCell ref="C4:F4"/>
    <mergeCell ref="C1:F1"/>
    <mergeCell ref="C2:F2"/>
    <mergeCell ref="H2:N2"/>
    <mergeCell ref="C3:F3"/>
    <mergeCell ref="H3:N3"/>
  </mergeCells>
  <pageMargins left="0.57999999999999996" right="0.47" top="0.63" bottom="0.66" header="0.31" footer="0.38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10"/>
  <sheetViews>
    <sheetView tabSelected="1" topLeftCell="A289" zoomScale="85" zoomScaleNormal="85" workbookViewId="0">
      <selection activeCell="D319" sqref="D319"/>
    </sheetView>
  </sheetViews>
  <sheetFormatPr defaultRowHeight="12.75" x14ac:dyDescent="0.2"/>
  <cols>
    <col min="1" max="1" width="3.7109375" style="147" customWidth="1"/>
    <col min="2" max="2" width="96.140625" style="147" customWidth="1"/>
    <col min="3" max="3" width="13.140625" style="147" customWidth="1"/>
    <col min="4" max="4" width="12.85546875" style="147" bestFit="1" customWidth="1"/>
    <col min="5" max="5" width="14.42578125" style="147" customWidth="1"/>
    <col min="6" max="6" width="11.140625" style="147" hidden="1" customWidth="1"/>
    <col min="7" max="7" width="11.5703125" style="147" hidden="1" customWidth="1"/>
    <col min="8" max="8" width="0" style="147" hidden="1" customWidth="1"/>
    <col min="9" max="9" width="14.85546875" style="147" hidden="1" customWidth="1"/>
    <col min="10" max="10" width="10.85546875" style="147" hidden="1" customWidth="1"/>
    <col min="11" max="11" width="0" style="147" hidden="1" customWidth="1"/>
    <col min="12" max="13" width="9.140625" style="147"/>
    <col min="14" max="14" width="75.5703125" style="147" customWidth="1"/>
    <col min="15" max="16384" width="9.140625" style="147"/>
  </cols>
  <sheetData>
    <row r="1" spans="2:11" x14ac:dyDescent="0.2">
      <c r="B1" s="214" t="s">
        <v>77</v>
      </c>
      <c r="C1" s="214"/>
      <c r="D1" s="214"/>
      <c r="E1" s="214"/>
      <c r="F1" s="214"/>
      <c r="G1" s="214"/>
      <c r="H1" s="214"/>
      <c r="I1" s="214"/>
      <c r="J1" s="214"/>
    </row>
    <row r="2" spans="2:11" ht="15" x14ac:dyDescent="0.25">
      <c r="B2" s="206" t="s">
        <v>81</v>
      </c>
      <c r="C2" s="207"/>
      <c r="D2" s="207"/>
      <c r="E2" s="207"/>
      <c r="F2" s="207"/>
      <c r="G2" s="207"/>
      <c r="H2" s="207"/>
      <c r="I2" s="207"/>
      <c r="J2" s="207"/>
    </row>
    <row r="3" spans="2:11" x14ac:dyDescent="0.2">
      <c r="B3" s="214" t="s">
        <v>24</v>
      </c>
      <c r="C3" s="214"/>
      <c r="D3" s="214"/>
      <c r="E3" s="214"/>
      <c r="F3" s="214"/>
      <c r="G3" s="214"/>
      <c r="H3" s="214"/>
      <c r="I3" s="214"/>
      <c r="J3" s="214"/>
    </row>
    <row r="4" spans="2:11" x14ac:dyDescent="0.2">
      <c r="B4" s="214" t="s">
        <v>230</v>
      </c>
      <c r="C4" s="214"/>
      <c r="D4" s="214"/>
      <c r="E4" s="214"/>
      <c r="F4" s="214"/>
      <c r="G4" s="214"/>
      <c r="H4" s="214"/>
      <c r="I4" s="214"/>
      <c r="J4" s="214"/>
    </row>
    <row r="6" spans="2:11" x14ac:dyDescent="0.2">
      <c r="F6" s="147" t="s">
        <v>28</v>
      </c>
      <c r="J6" s="12"/>
    </row>
    <row r="8" spans="2:11" x14ac:dyDescent="0.2">
      <c r="B8" s="148"/>
      <c r="C8" s="148"/>
      <c r="D8" s="149"/>
      <c r="E8" s="150"/>
      <c r="F8" s="148"/>
      <c r="G8" s="149"/>
      <c r="H8" s="150"/>
      <c r="I8" s="150"/>
      <c r="J8" s="150"/>
      <c r="K8" s="150"/>
    </row>
    <row r="9" spans="2:11" x14ac:dyDescent="0.2">
      <c r="B9" s="21"/>
      <c r="C9" s="215" t="s">
        <v>229</v>
      </c>
      <c r="D9" s="216"/>
      <c r="E9" s="217"/>
      <c r="F9" s="211"/>
      <c r="G9" s="212"/>
      <c r="H9" s="213"/>
      <c r="I9" s="20"/>
      <c r="J9" s="20"/>
      <c r="K9" s="20"/>
    </row>
    <row r="10" spans="2:11" ht="12.75" customHeight="1" x14ac:dyDescent="0.2">
      <c r="B10" s="145" t="s">
        <v>1</v>
      </c>
      <c r="C10" s="215"/>
      <c r="D10" s="216"/>
      <c r="E10" s="217"/>
      <c r="F10" s="211" t="s">
        <v>20</v>
      </c>
      <c r="G10" s="212"/>
      <c r="H10" s="213"/>
      <c r="I10" s="20" t="s">
        <v>17</v>
      </c>
      <c r="J10" s="20" t="s">
        <v>18</v>
      </c>
      <c r="K10" s="20" t="s">
        <v>12</v>
      </c>
    </row>
    <row r="11" spans="2:11" x14ac:dyDescent="0.2">
      <c r="B11" s="13"/>
      <c r="C11" s="215"/>
      <c r="D11" s="216"/>
      <c r="E11" s="217"/>
      <c r="F11" s="21"/>
      <c r="G11" s="22" t="s">
        <v>19</v>
      </c>
      <c r="H11" s="14"/>
      <c r="I11" s="20" t="s">
        <v>9</v>
      </c>
      <c r="J11" s="20" t="s">
        <v>11</v>
      </c>
      <c r="K11" s="20" t="s">
        <v>13</v>
      </c>
    </row>
    <row r="12" spans="2:11" x14ac:dyDescent="0.2">
      <c r="B12" s="151"/>
      <c r="C12" s="151" t="s">
        <v>7</v>
      </c>
      <c r="D12" s="152" t="s">
        <v>8</v>
      </c>
      <c r="E12" s="153" t="s">
        <v>9</v>
      </c>
      <c r="F12" s="151" t="s">
        <v>7</v>
      </c>
      <c r="G12" s="152" t="s">
        <v>8</v>
      </c>
      <c r="H12" s="153" t="s">
        <v>9</v>
      </c>
      <c r="I12" s="153"/>
      <c r="J12" s="153"/>
      <c r="K12" s="153"/>
    </row>
    <row r="13" spans="2:11" x14ac:dyDescent="0.2">
      <c r="B13" s="15" t="s">
        <v>78</v>
      </c>
      <c r="C13" s="162"/>
      <c r="D13" s="162"/>
      <c r="E13" s="58"/>
      <c r="F13" s="58"/>
      <c r="G13" s="58"/>
      <c r="H13" s="58"/>
      <c r="I13" s="45"/>
      <c r="J13" s="154"/>
      <c r="K13" s="154"/>
    </row>
    <row r="14" spans="2:11" s="179" customFormat="1" ht="16.5" x14ac:dyDescent="0.3">
      <c r="B14" s="190" t="s">
        <v>101</v>
      </c>
      <c r="C14" s="167">
        <f>62160/5.68</f>
        <v>10943.661971830987</v>
      </c>
      <c r="D14" s="167"/>
      <c r="E14" s="167"/>
      <c r="F14" s="185"/>
      <c r="G14" s="185"/>
      <c r="H14" s="167"/>
      <c r="I14" s="168"/>
      <c r="J14" s="99"/>
      <c r="K14" s="99"/>
    </row>
    <row r="15" spans="2:11" ht="16.5" x14ac:dyDescent="0.3">
      <c r="B15" s="190" t="s">
        <v>102</v>
      </c>
      <c r="C15" s="167">
        <f>33600/5.68</f>
        <v>5915.4929577464791</v>
      </c>
      <c r="D15" s="167"/>
      <c r="E15" s="58"/>
      <c r="F15" s="58"/>
      <c r="G15" s="58"/>
      <c r="H15" s="58"/>
      <c r="I15" s="45"/>
      <c r="J15" s="154"/>
      <c r="K15" s="154"/>
    </row>
    <row r="16" spans="2:11" ht="16.5" x14ac:dyDescent="0.3">
      <c r="B16" s="190" t="s">
        <v>141</v>
      </c>
      <c r="C16" s="181">
        <f>450/5.68</f>
        <v>79.225352112676063</v>
      </c>
      <c r="D16" s="45"/>
      <c r="E16" s="58"/>
      <c r="F16" s="58"/>
      <c r="G16" s="58"/>
      <c r="H16" s="58"/>
      <c r="I16" s="45"/>
      <c r="J16" s="45"/>
      <c r="K16" s="45"/>
    </row>
    <row r="17" spans="2:15" ht="16.5" x14ac:dyDescent="0.3">
      <c r="B17" s="190" t="s">
        <v>143</v>
      </c>
      <c r="C17" s="181">
        <f>16800/5.68</f>
        <v>2957.7464788732395</v>
      </c>
      <c r="D17" s="45"/>
      <c r="E17" s="58"/>
      <c r="F17" s="58"/>
      <c r="G17" s="58"/>
      <c r="H17" s="58"/>
      <c r="I17" s="45"/>
      <c r="J17" s="45"/>
      <c r="K17" s="45"/>
    </row>
    <row r="18" spans="2:15" ht="16.5" x14ac:dyDescent="0.3">
      <c r="B18" s="190" t="s">
        <v>144</v>
      </c>
      <c r="C18" s="181">
        <f>22960/5.68</f>
        <v>4042.2535211267609</v>
      </c>
      <c r="D18" s="45"/>
      <c r="E18" s="58"/>
      <c r="F18" s="58"/>
      <c r="G18" s="58"/>
      <c r="H18" s="58"/>
      <c r="I18" s="155"/>
      <c r="J18" s="155"/>
      <c r="K18" s="45"/>
      <c r="N18" s="195"/>
      <c r="O18" s="195"/>
    </row>
    <row r="19" spans="2:15" ht="16.5" x14ac:dyDescent="0.3">
      <c r="B19" s="190"/>
      <c r="C19" s="181"/>
      <c r="D19" s="45"/>
      <c r="E19" s="58"/>
      <c r="F19" s="58"/>
      <c r="G19" s="58"/>
      <c r="H19" s="58"/>
      <c r="I19" s="155"/>
      <c r="J19" s="155"/>
      <c r="K19" s="45"/>
      <c r="N19" s="195"/>
      <c r="O19" s="195"/>
    </row>
    <row r="20" spans="2:15" ht="16.5" x14ac:dyDescent="0.3">
      <c r="B20" s="233" t="s">
        <v>168</v>
      </c>
      <c r="C20" s="181">
        <f>1700/5.68</f>
        <v>299.29577464788736</v>
      </c>
      <c r="D20" s="45"/>
      <c r="E20" s="58"/>
      <c r="F20" s="58"/>
      <c r="G20" s="58"/>
      <c r="H20" s="58"/>
      <c r="I20" s="155"/>
      <c r="J20" s="155"/>
      <c r="K20" s="45"/>
      <c r="N20" s="195"/>
      <c r="O20" s="195"/>
    </row>
    <row r="21" spans="2:15" ht="16.5" x14ac:dyDescent="0.3">
      <c r="B21" s="190" t="s">
        <v>168</v>
      </c>
      <c r="C21" s="181">
        <f>2100/5.68</f>
        <v>369.71830985915494</v>
      </c>
      <c r="D21" s="45"/>
      <c r="E21" s="58"/>
      <c r="F21" s="58"/>
      <c r="G21" s="58"/>
      <c r="H21" s="58"/>
      <c r="I21" s="155"/>
      <c r="J21" s="155"/>
      <c r="K21" s="45"/>
      <c r="N21" s="195"/>
      <c r="O21" s="195"/>
    </row>
    <row r="22" spans="2:15" ht="16.5" x14ac:dyDescent="0.3">
      <c r="B22" s="190" t="s">
        <v>168</v>
      </c>
      <c r="C22" s="181">
        <f>2100/5.68</f>
        <v>369.71830985915494</v>
      </c>
      <c r="D22" s="45"/>
      <c r="E22" s="58"/>
      <c r="F22" s="58"/>
      <c r="G22" s="58"/>
      <c r="H22" s="58"/>
      <c r="I22" s="155"/>
      <c r="J22" s="155"/>
      <c r="K22" s="45"/>
      <c r="N22" s="195"/>
      <c r="O22" s="195"/>
    </row>
    <row r="23" spans="2:15" ht="16.5" x14ac:dyDescent="0.3">
      <c r="B23" s="190" t="s">
        <v>168</v>
      </c>
      <c r="C23" s="181">
        <f>4250/5.68</f>
        <v>748.23943661971839</v>
      </c>
      <c r="D23" s="45"/>
      <c r="E23" s="58"/>
      <c r="F23" s="58"/>
      <c r="G23" s="58"/>
      <c r="H23" s="58"/>
      <c r="I23" s="155"/>
      <c r="J23" s="155"/>
      <c r="K23" s="45"/>
      <c r="N23" s="195"/>
      <c r="O23" s="195"/>
    </row>
    <row r="24" spans="2:15" ht="16.5" x14ac:dyDescent="0.3">
      <c r="B24" s="190" t="s">
        <v>168</v>
      </c>
      <c r="C24" s="181">
        <f>1400/5.68</f>
        <v>246.47887323943664</v>
      </c>
      <c r="D24" s="45"/>
      <c r="E24" s="58"/>
      <c r="F24" s="58"/>
      <c r="G24" s="58"/>
      <c r="H24" s="58"/>
      <c r="I24" s="155"/>
      <c r="J24" s="155"/>
      <c r="K24" s="45"/>
      <c r="N24" s="195"/>
      <c r="O24" s="195"/>
    </row>
    <row r="25" spans="2:15" ht="16.5" x14ac:dyDescent="0.3">
      <c r="B25" s="190" t="s">
        <v>168</v>
      </c>
      <c r="C25" s="181">
        <f>1400/5.68</f>
        <v>246.47887323943664</v>
      </c>
      <c r="D25" s="45"/>
      <c r="E25" s="58"/>
      <c r="F25" s="58"/>
      <c r="G25" s="58"/>
      <c r="H25" s="58"/>
      <c r="I25" s="155"/>
      <c r="J25" s="155"/>
      <c r="K25" s="45"/>
      <c r="N25" s="195"/>
      <c r="O25" s="195"/>
    </row>
    <row r="26" spans="2:15" ht="16.5" x14ac:dyDescent="0.3">
      <c r="B26" s="190" t="s">
        <v>168</v>
      </c>
      <c r="C26" s="181">
        <f>2333.33/5.68</f>
        <v>410.79753521126759</v>
      </c>
      <c r="D26" s="45"/>
      <c r="E26" s="58"/>
      <c r="F26" s="58"/>
      <c r="G26" s="58"/>
      <c r="H26" s="58"/>
      <c r="I26" s="155"/>
      <c r="J26" s="155"/>
      <c r="K26" s="45"/>
      <c r="N26" s="195"/>
      <c r="O26" s="195"/>
    </row>
    <row r="27" spans="2:15" ht="16.5" x14ac:dyDescent="0.3">
      <c r="B27" s="190" t="s">
        <v>168</v>
      </c>
      <c r="C27" s="181">
        <f>2067/5.68</f>
        <v>363.90845070422534</v>
      </c>
      <c r="D27" s="45"/>
      <c r="E27" s="58"/>
      <c r="F27" s="58"/>
      <c r="G27" s="58"/>
      <c r="H27" s="58"/>
      <c r="I27" s="155"/>
      <c r="J27" s="155"/>
      <c r="K27" s="45"/>
      <c r="N27" s="195"/>
      <c r="O27" s="195"/>
    </row>
    <row r="28" spans="2:15" ht="16.5" x14ac:dyDescent="0.3">
      <c r="B28" s="190" t="s">
        <v>168</v>
      </c>
      <c r="C28" s="181">
        <f>2133.33/5.68</f>
        <v>375.58626760563379</v>
      </c>
      <c r="D28" s="45"/>
      <c r="E28" s="58"/>
      <c r="F28" s="58"/>
      <c r="G28" s="58"/>
      <c r="H28" s="58"/>
      <c r="I28" s="155"/>
      <c r="J28" s="155"/>
      <c r="K28" s="45"/>
      <c r="N28" s="195"/>
      <c r="O28" s="195"/>
    </row>
    <row r="29" spans="2:15" ht="16.5" x14ac:dyDescent="0.3">
      <c r="B29" s="190" t="s">
        <v>168</v>
      </c>
      <c r="C29" s="181">
        <f>3000/5.68</f>
        <v>528.16901408450713</v>
      </c>
      <c r="D29" s="45"/>
      <c r="E29" s="58"/>
      <c r="F29" s="58"/>
      <c r="G29" s="58"/>
      <c r="H29" s="58"/>
      <c r="I29" s="155"/>
      <c r="J29" s="155"/>
      <c r="K29" s="45"/>
      <c r="N29" s="195"/>
      <c r="O29" s="195"/>
    </row>
    <row r="30" spans="2:15" ht="16.5" x14ac:dyDescent="0.3">
      <c r="B30" s="190" t="s">
        <v>168</v>
      </c>
      <c r="C30" s="181">
        <f>2067/5.68</f>
        <v>363.90845070422534</v>
      </c>
      <c r="D30" s="45"/>
      <c r="E30" s="58"/>
      <c r="F30" s="58"/>
      <c r="G30" s="58"/>
      <c r="H30" s="58"/>
      <c r="I30" s="155"/>
      <c r="J30" s="155"/>
      <c r="K30" s="45"/>
      <c r="N30" s="195"/>
      <c r="O30" s="195"/>
    </row>
    <row r="31" spans="2:15" ht="16.5" x14ac:dyDescent="0.3">
      <c r="B31" s="190" t="s">
        <v>168</v>
      </c>
      <c r="C31" s="181">
        <f>4250/5.68</f>
        <v>748.23943661971839</v>
      </c>
      <c r="D31" s="45"/>
      <c r="E31" s="58"/>
      <c r="F31" s="58"/>
      <c r="G31" s="58"/>
      <c r="H31" s="58"/>
      <c r="I31" s="155"/>
      <c r="J31" s="155"/>
      <c r="K31" s="45"/>
      <c r="N31" s="195"/>
      <c r="O31" s="195"/>
    </row>
    <row r="32" spans="2:15" ht="16.5" x14ac:dyDescent="0.3">
      <c r="B32" s="190" t="s">
        <v>168</v>
      </c>
      <c r="C32" s="181">
        <f>1860/5.68</f>
        <v>327.46478873239437</v>
      </c>
      <c r="D32" s="45"/>
      <c r="E32" s="58"/>
      <c r="F32" s="58"/>
      <c r="G32" s="58"/>
      <c r="H32" s="58"/>
      <c r="I32" s="155"/>
      <c r="J32" s="155"/>
      <c r="K32" s="45"/>
      <c r="N32" s="195"/>
      <c r="O32" s="195"/>
    </row>
    <row r="33" spans="2:15" ht="16.5" x14ac:dyDescent="0.3">
      <c r="B33" s="190" t="s">
        <v>168</v>
      </c>
      <c r="C33" s="181">
        <f>1240/5.68</f>
        <v>218.3098591549296</v>
      </c>
      <c r="D33" s="45"/>
      <c r="E33" s="58"/>
      <c r="F33" s="58"/>
      <c r="G33" s="58"/>
      <c r="H33" s="58"/>
      <c r="I33" s="155"/>
      <c r="J33" s="155"/>
      <c r="K33" s="45"/>
      <c r="N33" s="195"/>
      <c r="O33" s="195"/>
    </row>
    <row r="34" spans="2:15" ht="16.5" x14ac:dyDescent="0.3">
      <c r="B34" s="190" t="s">
        <v>168</v>
      </c>
      <c r="C34" s="181">
        <f>2255/5.68</f>
        <v>397.00704225352115</v>
      </c>
      <c r="D34" s="45"/>
      <c r="E34" s="58"/>
      <c r="F34" s="58"/>
      <c r="G34" s="58"/>
      <c r="H34" s="58"/>
      <c r="I34" s="155"/>
      <c r="J34" s="155"/>
      <c r="K34" s="45"/>
      <c r="N34" s="195"/>
      <c r="O34" s="195"/>
    </row>
    <row r="35" spans="2:15" ht="16.5" x14ac:dyDescent="0.3">
      <c r="B35" s="190" t="s">
        <v>169</v>
      </c>
      <c r="C35" s="181">
        <f>4722.3/5.68</f>
        <v>831.39084507042264</v>
      </c>
      <c r="D35" s="45"/>
      <c r="E35" s="58"/>
      <c r="F35" s="58"/>
      <c r="G35" s="58"/>
      <c r="H35" s="58"/>
      <c r="I35" s="155"/>
      <c r="J35" s="155"/>
      <c r="K35" s="45"/>
      <c r="N35" s="195"/>
      <c r="O35" s="195"/>
    </row>
    <row r="36" spans="2:15" ht="16.5" x14ac:dyDescent="0.3">
      <c r="B36" s="190" t="s">
        <v>173</v>
      </c>
      <c r="C36" s="181">
        <f>6720/5.68</f>
        <v>1183.0985915492959</v>
      </c>
      <c r="D36" s="45"/>
      <c r="E36" s="58"/>
      <c r="F36" s="58"/>
      <c r="G36" s="58"/>
      <c r="H36" s="58"/>
      <c r="I36" s="155"/>
      <c r="J36" s="155"/>
      <c r="K36" s="45"/>
      <c r="N36" s="195"/>
      <c r="O36" s="195"/>
    </row>
    <row r="37" spans="2:15" ht="16.5" x14ac:dyDescent="0.3">
      <c r="B37" s="190" t="s">
        <v>173</v>
      </c>
      <c r="C37" s="181">
        <f>9520/5.68</f>
        <v>1676.0563380281692</v>
      </c>
      <c r="D37" s="45"/>
      <c r="E37" s="58"/>
      <c r="F37" s="58"/>
      <c r="G37" s="58"/>
      <c r="H37" s="58"/>
      <c r="I37" s="155"/>
      <c r="J37" s="155"/>
      <c r="K37" s="45"/>
      <c r="N37" s="195"/>
      <c r="O37" s="195"/>
    </row>
    <row r="38" spans="2:15" ht="16.5" x14ac:dyDescent="0.3">
      <c r="B38" s="190" t="s">
        <v>168</v>
      </c>
      <c r="C38" s="181">
        <f>2067/5.68</f>
        <v>363.90845070422534</v>
      </c>
      <c r="D38" s="45"/>
      <c r="E38" s="58"/>
      <c r="F38" s="58"/>
      <c r="G38" s="58"/>
      <c r="H38" s="58"/>
      <c r="I38" s="155"/>
      <c r="J38" s="155"/>
      <c r="K38" s="45"/>
      <c r="N38" s="195"/>
      <c r="O38" s="195"/>
    </row>
    <row r="39" spans="2:15" ht="16.5" x14ac:dyDescent="0.3">
      <c r="B39" s="190" t="s">
        <v>231</v>
      </c>
      <c r="C39" s="181">
        <f>485/5.68</f>
        <v>85.387323943661983</v>
      </c>
      <c r="D39" s="45"/>
      <c r="E39" s="58"/>
      <c r="F39" s="58"/>
      <c r="G39" s="58"/>
      <c r="H39" s="58"/>
      <c r="I39" s="155"/>
      <c r="J39" s="155"/>
      <c r="K39" s="45"/>
      <c r="N39" s="195"/>
      <c r="O39" s="195"/>
    </row>
    <row r="40" spans="2:15" ht="16.5" x14ac:dyDescent="0.3">
      <c r="B40" s="190" t="s">
        <v>232</v>
      </c>
      <c r="C40" s="181">
        <f>30297.76/5.68</f>
        <v>5334.1126760563384</v>
      </c>
      <c r="D40" s="45"/>
      <c r="E40" s="58"/>
      <c r="F40" s="58"/>
      <c r="G40" s="58"/>
      <c r="H40" s="58"/>
      <c r="I40" s="155"/>
      <c r="J40" s="155"/>
      <c r="K40" s="45"/>
      <c r="N40" s="195"/>
      <c r="O40" s="195"/>
    </row>
    <row r="41" spans="2:15" ht="16.5" x14ac:dyDescent="0.3">
      <c r="B41" s="190" t="s">
        <v>232</v>
      </c>
      <c r="C41" s="181">
        <f>2456.58/5.68</f>
        <v>432.49647887323943</v>
      </c>
      <c r="D41" s="45"/>
      <c r="E41" s="58"/>
      <c r="F41" s="58"/>
      <c r="G41" s="58"/>
      <c r="H41" s="58"/>
      <c r="I41" s="155"/>
      <c r="J41" s="155"/>
      <c r="K41" s="45"/>
      <c r="N41" s="195"/>
      <c r="O41" s="195"/>
    </row>
    <row r="42" spans="2:15" ht="16.5" x14ac:dyDescent="0.3">
      <c r="B42" s="190" t="s">
        <v>243</v>
      </c>
      <c r="C42" s="181">
        <f>6720/5.68</f>
        <v>1183.0985915492959</v>
      </c>
      <c r="D42" s="45"/>
      <c r="E42" s="58"/>
      <c r="F42" s="58"/>
      <c r="G42" s="58"/>
      <c r="H42" s="58"/>
      <c r="I42" s="155"/>
      <c r="J42" s="155"/>
      <c r="K42" s="45"/>
      <c r="N42" s="195"/>
      <c r="O42" s="195"/>
    </row>
    <row r="43" spans="2:15" ht="16.5" x14ac:dyDescent="0.3">
      <c r="B43" s="190" t="s">
        <v>243</v>
      </c>
      <c r="C43" s="181">
        <f>21840/5.68</f>
        <v>3845.0704225352115</v>
      </c>
      <c r="D43" s="45"/>
      <c r="E43" s="58"/>
      <c r="F43" s="58"/>
      <c r="G43" s="58"/>
      <c r="H43" s="58"/>
      <c r="I43" s="155"/>
      <c r="J43" s="155"/>
      <c r="K43" s="45"/>
      <c r="N43" s="195"/>
      <c r="O43" s="195"/>
    </row>
    <row r="44" spans="2:15" ht="16.5" x14ac:dyDescent="0.3">
      <c r="B44" s="190" t="s">
        <v>233</v>
      </c>
      <c r="C44" s="181">
        <f>900/5.68</f>
        <v>158.45070422535213</v>
      </c>
      <c r="D44" s="45"/>
      <c r="E44" s="58"/>
      <c r="F44" s="58"/>
      <c r="G44" s="58"/>
      <c r="H44" s="58"/>
      <c r="I44" s="155"/>
      <c r="J44" s="155"/>
      <c r="K44" s="45"/>
      <c r="N44" s="195"/>
      <c r="O44" s="195"/>
    </row>
    <row r="45" spans="2:15" ht="16.5" x14ac:dyDescent="0.3">
      <c r="B45" s="190" t="s">
        <v>233</v>
      </c>
      <c r="C45" s="181">
        <f>900/5.68</f>
        <v>158.45070422535213</v>
      </c>
      <c r="D45" s="45"/>
      <c r="E45" s="58"/>
      <c r="F45" s="58"/>
      <c r="G45" s="58"/>
      <c r="H45" s="58"/>
      <c r="I45" s="155"/>
      <c r="J45" s="155"/>
      <c r="K45" s="45"/>
      <c r="N45" s="195"/>
      <c r="O45" s="195"/>
    </row>
    <row r="46" spans="2:15" ht="16.5" x14ac:dyDescent="0.3">
      <c r="B46" s="190" t="s">
        <v>233</v>
      </c>
      <c r="C46" s="181">
        <f>900/5.68</f>
        <v>158.45070422535213</v>
      </c>
      <c r="D46" s="45"/>
      <c r="E46" s="58"/>
      <c r="F46" s="58"/>
      <c r="G46" s="58"/>
      <c r="H46" s="58"/>
      <c r="I46" s="155"/>
      <c r="J46" s="155"/>
      <c r="K46" s="45"/>
      <c r="N46" s="195"/>
      <c r="O46" s="195"/>
    </row>
    <row r="47" spans="2:15" ht="16.5" x14ac:dyDescent="0.3">
      <c r="B47" s="190" t="s">
        <v>233</v>
      </c>
      <c r="C47" s="181">
        <f>900/5.68</f>
        <v>158.45070422535213</v>
      </c>
      <c r="D47" s="45"/>
      <c r="E47" s="58"/>
      <c r="F47" s="58"/>
      <c r="G47" s="58"/>
      <c r="H47" s="58"/>
      <c r="I47" s="155"/>
      <c r="J47" s="155"/>
      <c r="K47" s="45"/>
      <c r="N47" s="195"/>
      <c r="O47" s="195"/>
    </row>
    <row r="48" spans="2:15" ht="16.5" x14ac:dyDescent="0.3">
      <c r="B48" s="190" t="s">
        <v>233</v>
      </c>
      <c r="C48" s="181">
        <f>900/5.68</f>
        <v>158.45070422535213</v>
      </c>
      <c r="D48" s="45"/>
      <c r="E48" s="58"/>
      <c r="F48" s="58"/>
      <c r="G48" s="58"/>
      <c r="H48" s="58"/>
      <c r="I48" s="155"/>
      <c r="J48" s="155"/>
      <c r="K48" s="45"/>
      <c r="N48" s="195"/>
      <c r="O48" s="195"/>
    </row>
    <row r="49" spans="2:15" ht="16.5" x14ac:dyDescent="0.3">
      <c r="B49" s="190" t="s">
        <v>234</v>
      </c>
      <c r="C49" s="181">
        <f>1200/5.68</f>
        <v>211.26760563380282</v>
      </c>
      <c r="D49" s="45"/>
      <c r="E49" s="58"/>
      <c r="F49" s="58"/>
      <c r="G49" s="58"/>
      <c r="H49" s="58"/>
      <c r="I49" s="155"/>
      <c r="J49" s="155"/>
      <c r="K49" s="45"/>
      <c r="N49" s="195"/>
      <c r="O49" s="195"/>
    </row>
    <row r="50" spans="2:15" ht="16.5" x14ac:dyDescent="0.3">
      <c r="B50" s="190" t="s">
        <v>235</v>
      </c>
      <c r="C50" s="181">
        <f>9520/5.68</f>
        <v>1676.0563380281692</v>
      </c>
      <c r="D50" s="45"/>
      <c r="E50" s="58"/>
      <c r="F50" s="58"/>
      <c r="G50" s="58"/>
      <c r="H50" s="58"/>
      <c r="I50" s="155"/>
      <c r="J50" s="155"/>
      <c r="K50" s="45"/>
      <c r="N50" s="195"/>
      <c r="O50" s="195"/>
    </row>
    <row r="51" spans="2:15" ht="16.5" x14ac:dyDescent="0.3">
      <c r="B51" s="190" t="s">
        <v>235</v>
      </c>
      <c r="C51" s="181">
        <f>6720/5.68</f>
        <v>1183.0985915492959</v>
      </c>
      <c r="D51" s="45"/>
      <c r="E51" s="58"/>
      <c r="F51" s="58"/>
      <c r="G51" s="58"/>
      <c r="H51" s="58"/>
      <c r="I51" s="155"/>
      <c r="J51" s="155"/>
      <c r="K51" s="45"/>
      <c r="N51" s="195"/>
      <c r="O51" s="195"/>
    </row>
    <row r="52" spans="2:15" ht="16.5" x14ac:dyDescent="0.3">
      <c r="B52" s="190" t="s">
        <v>244</v>
      </c>
      <c r="C52" s="181">
        <f>9249/5.68</f>
        <v>1628.3450704225354</v>
      </c>
      <c r="D52" s="45"/>
      <c r="E52" s="58"/>
      <c r="F52" s="58"/>
      <c r="G52" s="58"/>
      <c r="H52" s="58"/>
      <c r="I52" s="155"/>
      <c r="J52" s="155"/>
      <c r="K52" s="45"/>
      <c r="N52" s="195"/>
      <c r="O52" s="195"/>
    </row>
    <row r="53" spans="2:15" ht="16.5" x14ac:dyDescent="0.3">
      <c r="B53" s="190" t="s">
        <v>244</v>
      </c>
      <c r="C53" s="181">
        <f>3293/5.68</f>
        <v>579.75352112676057</v>
      </c>
      <c r="D53" s="45"/>
      <c r="E53" s="58"/>
      <c r="F53" s="58"/>
      <c r="G53" s="58"/>
      <c r="H53" s="58"/>
      <c r="I53" s="155"/>
      <c r="J53" s="155"/>
      <c r="K53" s="45"/>
      <c r="N53" s="195"/>
      <c r="O53" s="195"/>
    </row>
    <row r="54" spans="2:15" ht="16.5" x14ac:dyDescent="0.3">
      <c r="B54" s="190" t="s">
        <v>245</v>
      </c>
      <c r="C54" s="181">
        <f>900/5.68</f>
        <v>158.45070422535213</v>
      </c>
      <c r="D54" s="45"/>
      <c r="E54" s="58"/>
      <c r="F54" s="58"/>
      <c r="G54" s="58"/>
      <c r="H54" s="58"/>
      <c r="I54" s="155"/>
      <c r="J54" s="155"/>
      <c r="K54" s="45"/>
      <c r="N54" s="195"/>
      <c r="O54" s="195"/>
    </row>
    <row r="55" spans="2:15" ht="16.5" x14ac:dyDescent="0.3">
      <c r="B55" s="190" t="s">
        <v>236</v>
      </c>
      <c r="C55" s="181">
        <f>10642/5.68</f>
        <v>1873.5915492957747</v>
      </c>
      <c r="D55" s="45"/>
      <c r="E55" s="58"/>
      <c r="F55" s="58"/>
      <c r="G55" s="58"/>
      <c r="H55" s="58"/>
      <c r="I55" s="155"/>
      <c r="J55" s="155"/>
      <c r="K55" s="45"/>
      <c r="N55" s="195"/>
      <c r="O55" s="195"/>
    </row>
    <row r="56" spans="2:15" ht="16.5" x14ac:dyDescent="0.3">
      <c r="B56" s="183"/>
      <c r="C56" s="186"/>
      <c r="D56" s="45"/>
      <c r="E56" s="58"/>
      <c r="F56" s="58"/>
      <c r="G56" s="58"/>
      <c r="H56" s="58"/>
      <c r="I56" s="155"/>
      <c r="J56" s="155"/>
      <c r="K56" s="45"/>
      <c r="N56" s="195"/>
      <c r="O56" s="195"/>
    </row>
    <row r="57" spans="2:15" ht="16.5" x14ac:dyDescent="0.3">
      <c r="B57" s="49"/>
      <c r="C57" s="167"/>
      <c r="D57" s="58"/>
      <c r="E57" s="58"/>
      <c r="F57" s="58"/>
      <c r="G57" s="58"/>
      <c r="H57" s="58"/>
      <c r="I57" s="155"/>
      <c r="J57" s="155"/>
      <c r="K57" s="45"/>
      <c r="N57" s="195"/>
      <c r="O57" s="195"/>
    </row>
    <row r="58" spans="2:15" ht="17.25" thickBot="1" x14ac:dyDescent="0.35">
      <c r="B58" s="156"/>
      <c r="C58" s="165"/>
      <c r="D58" s="157"/>
      <c r="E58" s="157"/>
      <c r="F58" s="157"/>
      <c r="G58" s="157"/>
      <c r="H58" s="157"/>
      <c r="I58" s="41"/>
      <c r="J58" s="41"/>
      <c r="K58" s="158"/>
      <c r="N58" s="195"/>
      <c r="O58" s="195"/>
    </row>
    <row r="59" spans="2:15" s="12" customFormat="1" ht="17.25" thickBot="1" x14ac:dyDescent="0.35">
      <c r="B59" s="16" t="s">
        <v>16</v>
      </c>
      <c r="C59" s="193">
        <f>SUM(C14:C58)</f>
        <v>52989.137323943665</v>
      </c>
      <c r="D59" s="36">
        <f>SUM(D14:D58)</f>
        <v>0</v>
      </c>
      <c r="E59" s="36">
        <f>SUM(E14:E15)</f>
        <v>0</v>
      </c>
      <c r="F59" s="42">
        <f>SUM(F14:F17)</f>
        <v>0</v>
      </c>
      <c r="G59" s="42">
        <f>SUM(G14:G17)</f>
        <v>0</v>
      </c>
      <c r="H59" s="42">
        <f>SUM(H14:H15)</f>
        <v>0</v>
      </c>
      <c r="I59" s="43"/>
      <c r="J59" s="44"/>
      <c r="K59" s="44"/>
      <c r="N59" s="195"/>
      <c r="O59" s="195"/>
    </row>
    <row r="60" spans="2:15" ht="16.5" x14ac:dyDescent="0.3">
      <c r="B60" s="159"/>
      <c r="C60" s="166"/>
      <c r="D60" s="160"/>
      <c r="E60" s="160"/>
      <c r="F60" s="160"/>
      <c r="G60" s="160"/>
      <c r="H60" s="160"/>
      <c r="I60" s="161"/>
      <c r="J60" s="161"/>
      <c r="K60" s="161"/>
      <c r="N60" s="195"/>
      <c r="O60" s="195"/>
    </row>
    <row r="61" spans="2:15" ht="16.5" x14ac:dyDescent="0.3">
      <c r="B61" s="15" t="s">
        <v>30</v>
      </c>
      <c r="C61" s="194"/>
      <c r="D61" s="58"/>
      <c r="E61" s="58"/>
      <c r="F61" s="58"/>
      <c r="G61" s="58"/>
      <c r="H61" s="58"/>
      <c r="I61" s="45"/>
      <c r="J61" s="45"/>
      <c r="K61" s="45"/>
      <c r="N61" s="195"/>
      <c r="O61" s="195"/>
    </row>
    <row r="62" spans="2:15" ht="16.5" x14ac:dyDescent="0.3">
      <c r="B62" s="188" t="s">
        <v>237</v>
      </c>
      <c r="C62" s="167">
        <f>90819.08/5.68</f>
        <v>15989.274647887325</v>
      </c>
      <c r="D62" s="58"/>
      <c r="E62" s="58"/>
      <c r="F62" s="58"/>
      <c r="G62" s="55"/>
      <c r="H62" s="58"/>
      <c r="I62" s="45"/>
      <c r="J62" s="45"/>
      <c r="K62" s="45"/>
      <c r="N62" s="195"/>
      <c r="O62" s="195"/>
    </row>
    <row r="63" spans="2:15" ht="16.5" x14ac:dyDescent="0.3">
      <c r="B63" s="188" t="s">
        <v>88</v>
      </c>
      <c r="C63" s="167">
        <f>6095.24/5.68</f>
        <v>1073.105633802817</v>
      </c>
      <c r="D63" s="58"/>
      <c r="E63" s="58"/>
      <c r="F63" s="58"/>
      <c r="G63" s="55"/>
      <c r="H63" s="58"/>
      <c r="I63" s="45"/>
      <c r="J63" s="45"/>
      <c r="K63" s="45"/>
      <c r="N63" s="195"/>
      <c r="O63" s="195"/>
    </row>
    <row r="64" spans="2:15" ht="16.5" x14ac:dyDescent="0.3">
      <c r="B64" s="188" t="s">
        <v>89</v>
      </c>
      <c r="C64" s="167">
        <f>990746.33/5.68</f>
        <v>174427.17077464788</v>
      </c>
      <c r="D64" s="58"/>
      <c r="E64" s="58"/>
      <c r="F64" s="162"/>
      <c r="G64" s="55"/>
      <c r="H64" s="58"/>
      <c r="I64" s="45"/>
      <c r="J64" s="45"/>
      <c r="K64" s="45"/>
      <c r="N64" s="195"/>
      <c r="O64" s="195"/>
    </row>
    <row r="65" spans="2:15" ht="16.5" x14ac:dyDescent="0.3">
      <c r="B65" s="49"/>
      <c r="C65" s="194"/>
      <c r="D65" s="58"/>
      <c r="E65" s="58"/>
      <c r="F65" s="162"/>
      <c r="G65" s="55"/>
      <c r="H65" s="58"/>
      <c r="I65" s="45"/>
      <c r="J65" s="45"/>
      <c r="K65" s="45"/>
      <c r="N65" s="195"/>
      <c r="O65" s="195"/>
    </row>
    <row r="66" spans="2:15" ht="16.5" x14ac:dyDescent="0.3">
      <c r="B66" s="49"/>
      <c r="C66" s="194"/>
      <c r="D66" s="58"/>
      <c r="E66" s="58"/>
      <c r="F66" s="162"/>
      <c r="G66" s="55"/>
      <c r="H66" s="58"/>
      <c r="I66" s="45"/>
      <c r="J66" s="45"/>
      <c r="K66" s="45"/>
      <c r="N66" s="195"/>
      <c r="O66" s="195"/>
    </row>
    <row r="67" spans="2:15" ht="17.25" thickBot="1" x14ac:dyDescent="0.35">
      <c r="B67" s="45"/>
      <c r="C67" s="194"/>
      <c r="D67" s="55"/>
      <c r="E67" s="58"/>
      <c r="F67" s="162"/>
      <c r="G67" s="55"/>
      <c r="H67" s="58"/>
      <c r="I67" s="45"/>
      <c r="J67" s="45"/>
      <c r="K67" s="45"/>
      <c r="N67" s="195"/>
      <c r="O67" s="195"/>
    </row>
    <row r="68" spans="2:15" ht="17.25" thickBot="1" x14ac:dyDescent="0.35">
      <c r="B68" s="56" t="s">
        <v>16</v>
      </c>
      <c r="C68" s="193">
        <f>SUM(C62:C67)</f>
        <v>191489.55105633801</v>
      </c>
      <c r="D68" s="62">
        <f>SUM(D62:D67)</f>
        <v>0</v>
      </c>
      <c r="E68" s="62">
        <f>SUM(E62:E63)</f>
        <v>0</v>
      </c>
      <c r="F68" s="36">
        <f>SUM(F62:F63)</f>
        <v>0</v>
      </c>
      <c r="G68" s="63">
        <f>SUM(G62:G63)</f>
        <v>0</v>
      </c>
      <c r="H68" s="58"/>
      <c r="I68" s="45"/>
      <c r="J68" s="45"/>
      <c r="K68" s="45"/>
      <c r="N68" s="195"/>
      <c r="O68" s="196"/>
    </row>
    <row r="69" spans="2:15" ht="16.5" x14ac:dyDescent="0.3">
      <c r="B69" s="17"/>
      <c r="C69" s="166"/>
      <c r="D69" s="160"/>
      <c r="E69" s="160"/>
      <c r="F69" s="160"/>
      <c r="G69" s="163"/>
      <c r="H69" s="163"/>
      <c r="I69" s="164"/>
      <c r="J69" s="164"/>
      <c r="K69" s="164"/>
      <c r="N69" s="195"/>
      <c r="O69" s="195"/>
    </row>
    <row r="70" spans="2:15" ht="16.5" x14ac:dyDescent="0.3">
      <c r="B70" s="15" t="s">
        <v>79</v>
      </c>
      <c r="C70" s="165"/>
      <c r="D70" s="166"/>
      <c r="E70" s="166"/>
      <c r="F70" s="166"/>
      <c r="G70" s="167"/>
      <c r="H70" s="167"/>
      <c r="I70" s="168"/>
      <c r="J70" s="168"/>
      <c r="K70" s="168"/>
      <c r="N70" s="195"/>
      <c r="O70" s="195"/>
    </row>
    <row r="71" spans="2:15" ht="16.5" x14ac:dyDescent="0.3">
      <c r="B71" s="190" t="s">
        <v>105</v>
      </c>
      <c r="C71" s="167">
        <f>1335.82/5.68</f>
        <v>235.17957746478874</v>
      </c>
      <c r="D71" s="167"/>
      <c r="E71" s="167"/>
      <c r="F71" s="167"/>
      <c r="G71" s="167"/>
      <c r="H71" s="167"/>
      <c r="I71" s="168"/>
      <c r="J71" s="168"/>
      <c r="K71" s="168"/>
      <c r="N71" s="195"/>
      <c r="O71" s="195"/>
    </row>
    <row r="72" spans="2:15" s="179" customFormat="1" ht="16.5" x14ac:dyDescent="0.3">
      <c r="B72" s="190" t="s">
        <v>106</v>
      </c>
      <c r="C72" s="167">
        <f>3580/5.68</f>
        <v>630.28169014084506</v>
      </c>
      <c r="D72" s="167"/>
      <c r="E72" s="167"/>
      <c r="F72" s="167"/>
      <c r="G72" s="167"/>
      <c r="H72" s="167"/>
      <c r="I72" s="168"/>
      <c r="J72" s="168"/>
      <c r="K72" s="168"/>
      <c r="N72" s="195"/>
      <c r="O72" s="195"/>
    </row>
    <row r="73" spans="2:15" s="179" customFormat="1" ht="16.5" x14ac:dyDescent="0.3">
      <c r="B73" s="190" t="s">
        <v>106</v>
      </c>
      <c r="C73" s="167">
        <f>11173/5.68</f>
        <v>1967.0774647887324</v>
      </c>
      <c r="D73" s="167"/>
      <c r="E73" s="167"/>
      <c r="F73" s="167"/>
      <c r="G73" s="167"/>
      <c r="H73" s="167"/>
      <c r="I73" s="168"/>
      <c r="J73" s="168"/>
      <c r="K73" s="168"/>
      <c r="N73" s="195"/>
      <c r="O73" s="195"/>
    </row>
    <row r="74" spans="2:15" s="179" customFormat="1" ht="16.5" x14ac:dyDescent="0.3">
      <c r="B74" s="190" t="s">
        <v>107</v>
      </c>
      <c r="C74" s="167">
        <f>21165/5.68</f>
        <v>3726.2323943661972</v>
      </c>
      <c r="D74" s="167"/>
      <c r="E74" s="167"/>
      <c r="F74" s="167"/>
      <c r="G74" s="167"/>
      <c r="H74" s="167"/>
      <c r="I74" s="168"/>
      <c r="J74" s="168"/>
      <c r="K74" s="168"/>
      <c r="N74" s="195"/>
      <c r="O74" s="195"/>
    </row>
    <row r="75" spans="2:15" s="179" customFormat="1" ht="16.5" x14ac:dyDescent="0.3">
      <c r="B75" s="190" t="s">
        <v>106</v>
      </c>
      <c r="C75" s="167">
        <f>16297/5.68</f>
        <v>2869.1901408450703</v>
      </c>
      <c r="D75" s="167"/>
      <c r="E75" s="167"/>
      <c r="F75" s="167"/>
      <c r="G75" s="167"/>
      <c r="H75" s="167"/>
      <c r="I75" s="168"/>
      <c r="J75" s="168"/>
      <c r="K75" s="168"/>
      <c r="N75" s="195"/>
      <c r="O75" s="195"/>
    </row>
    <row r="76" spans="2:15" ht="16.5" x14ac:dyDescent="0.3">
      <c r="B76" s="190" t="s">
        <v>86</v>
      </c>
      <c r="C76" s="181">
        <f>1871/5.68</f>
        <v>329.40140845070425</v>
      </c>
      <c r="D76" s="45"/>
      <c r="E76" s="167"/>
      <c r="F76" s="167"/>
      <c r="G76" s="167"/>
      <c r="H76" s="167"/>
      <c r="I76" s="168"/>
      <c r="J76" s="168"/>
      <c r="K76" s="168"/>
      <c r="N76" s="195"/>
      <c r="O76" s="195"/>
    </row>
    <row r="77" spans="2:15" s="179" customFormat="1" ht="16.5" x14ac:dyDescent="0.3">
      <c r="B77" s="190" t="s">
        <v>86</v>
      </c>
      <c r="C77" s="181">
        <f>18750/5.68</f>
        <v>3301.0563380281692</v>
      </c>
      <c r="D77" s="168"/>
      <c r="E77" s="167"/>
      <c r="F77" s="167"/>
      <c r="G77" s="167"/>
      <c r="H77" s="167"/>
      <c r="I77" s="168"/>
      <c r="J77" s="168"/>
      <c r="K77" s="168"/>
      <c r="N77" s="195"/>
      <c r="O77" s="195"/>
    </row>
    <row r="78" spans="2:15" s="179" customFormat="1" ht="16.5" x14ac:dyDescent="0.3">
      <c r="B78" s="190" t="s">
        <v>148</v>
      </c>
      <c r="C78" s="181">
        <f>847/5.68</f>
        <v>149.11971830985917</v>
      </c>
      <c r="D78" s="168"/>
      <c r="E78" s="167"/>
      <c r="F78" s="167"/>
      <c r="G78" s="167"/>
      <c r="H78" s="167"/>
      <c r="I78" s="168"/>
      <c r="J78" s="168"/>
      <c r="K78" s="168"/>
      <c r="N78" s="195"/>
      <c r="O78" s="195"/>
    </row>
    <row r="79" spans="2:15" ht="16.5" x14ac:dyDescent="0.3">
      <c r="B79" s="191" t="s">
        <v>150</v>
      </c>
      <c r="C79" s="181">
        <v>2224.5</v>
      </c>
      <c r="D79" s="45"/>
      <c r="E79" s="167"/>
      <c r="F79" s="167"/>
      <c r="G79" s="167"/>
      <c r="H79" s="167"/>
      <c r="I79" s="168"/>
      <c r="J79" s="168"/>
      <c r="K79" s="168"/>
      <c r="N79" s="195"/>
      <c r="O79" s="195"/>
    </row>
    <row r="80" spans="2:15" ht="16.5" x14ac:dyDescent="0.3">
      <c r="B80" s="191" t="s">
        <v>153</v>
      </c>
      <c r="C80" s="181">
        <v>241.96</v>
      </c>
      <c r="D80" s="45"/>
      <c r="E80" s="167"/>
      <c r="F80" s="167"/>
      <c r="G80" s="167"/>
      <c r="H80" s="167"/>
      <c r="I80" s="168"/>
      <c r="J80" s="168"/>
      <c r="K80" s="168"/>
      <c r="N80" s="195"/>
      <c r="O80" s="195"/>
    </row>
    <row r="81" spans="2:15" ht="16.5" x14ac:dyDescent="0.3">
      <c r="B81" s="197"/>
      <c r="C81" s="229"/>
      <c r="D81" s="45"/>
      <c r="E81" s="167"/>
      <c r="F81" s="167"/>
      <c r="G81" s="167"/>
      <c r="H81" s="167"/>
      <c r="I81" s="168"/>
      <c r="J81" s="168"/>
      <c r="K81" s="168"/>
      <c r="N81" s="195"/>
      <c r="O81" s="195"/>
    </row>
    <row r="82" spans="2:15" ht="16.5" x14ac:dyDescent="0.3">
      <c r="B82" s="234" t="s">
        <v>159</v>
      </c>
      <c r="C82" s="181">
        <f>2950/5.68</f>
        <v>519.36619718309862</v>
      </c>
      <c r="D82" s="45"/>
      <c r="E82" s="167"/>
      <c r="F82" s="167"/>
      <c r="G82" s="167"/>
      <c r="H82" s="167"/>
      <c r="I82" s="168"/>
      <c r="J82" s="168"/>
      <c r="K82" s="168"/>
      <c r="N82" s="195"/>
      <c r="O82" s="195"/>
    </row>
    <row r="83" spans="2:15" ht="16.5" x14ac:dyDescent="0.3">
      <c r="B83" s="191" t="s">
        <v>160</v>
      </c>
      <c r="C83" s="181">
        <f>1000/5.68</f>
        <v>176.05633802816902</v>
      </c>
      <c r="D83" s="45"/>
      <c r="E83" s="167"/>
      <c r="F83" s="167"/>
      <c r="G83" s="167"/>
      <c r="H83" s="167"/>
      <c r="I83" s="168"/>
      <c r="J83" s="168"/>
      <c r="K83" s="168"/>
      <c r="N83" s="195"/>
      <c r="O83" s="195"/>
    </row>
    <row r="84" spans="2:15" ht="16.5" x14ac:dyDescent="0.3">
      <c r="B84" s="191" t="s">
        <v>159</v>
      </c>
      <c r="C84" s="181">
        <f>1300/5.68</f>
        <v>228.87323943661974</v>
      </c>
      <c r="D84" s="45"/>
      <c r="E84" s="167"/>
      <c r="F84" s="167"/>
      <c r="G84" s="167"/>
      <c r="H84" s="167"/>
      <c r="I84" s="168"/>
      <c r="J84" s="168"/>
      <c r="K84" s="168"/>
      <c r="N84" s="195"/>
      <c r="O84" s="195"/>
    </row>
    <row r="85" spans="2:15" ht="16.5" x14ac:dyDescent="0.3">
      <c r="B85" s="191" t="s">
        <v>163</v>
      </c>
      <c r="C85" s="181">
        <f>12413.6/5.68</f>
        <v>2185.4929577464791</v>
      </c>
      <c r="D85" s="45"/>
      <c r="E85" s="167"/>
      <c r="F85" s="167"/>
      <c r="G85" s="167"/>
      <c r="H85" s="167"/>
      <c r="I85" s="168"/>
      <c r="J85" s="168"/>
      <c r="K85" s="168"/>
      <c r="N85" s="195"/>
      <c r="O85" s="195"/>
    </row>
    <row r="86" spans="2:15" ht="16.5" x14ac:dyDescent="0.3">
      <c r="B86" s="191" t="s">
        <v>148</v>
      </c>
      <c r="C86" s="181">
        <f>5800/5.68</f>
        <v>1021.1267605633803</v>
      </c>
      <c r="D86" s="45"/>
      <c r="E86" s="167"/>
      <c r="F86" s="167"/>
      <c r="G86" s="167"/>
      <c r="H86" s="167"/>
      <c r="I86" s="168"/>
      <c r="J86" s="168"/>
      <c r="K86" s="168"/>
      <c r="N86" s="195"/>
      <c r="O86" s="195"/>
    </row>
    <row r="87" spans="2:15" s="179" customFormat="1" ht="16.5" x14ac:dyDescent="0.3">
      <c r="B87" s="198" t="s">
        <v>238</v>
      </c>
      <c r="C87" s="199">
        <f>1700/5.68</f>
        <v>299.29577464788736</v>
      </c>
      <c r="D87" s="168"/>
      <c r="E87" s="167"/>
      <c r="F87" s="167"/>
      <c r="G87" s="167"/>
      <c r="H87" s="167"/>
      <c r="I87" s="168"/>
      <c r="J87" s="168"/>
      <c r="K87" s="168"/>
      <c r="N87" s="195"/>
      <c r="O87" s="195"/>
    </row>
    <row r="88" spans="2:15" ht="16.5" x14ac:dyDescent="0.3">
      <c r="B88" s="227" t="s">
        <v>240</v>
      </c>
      <c r="C88" s="230">
        <v>2240</v>
      </c>
      <c r="D88" s="45"/>
      <c r="E88" s="167"/>
      <c r="F88" s="167"/>
      <c r="G88" s="167"/>
      <c r="H88" s="167"/>
      <c r="I88" s="168"/>
      <c r="J88" s="168"/>
      <c r="K88" s="168"/>
      <c r="N88" s="195"/>
      <c r="O88" s="195"/>
    </row>
    <row r="89" spans="2:15" ht="16.5" x14ac:dyDescent="0.3">
      <c r="B89" s="227" t="s">
        <v>240</v>
      </c>
      <c r="C89" s="230">
        <v>590</v>
      </c>
      <c r="D89" s="169"/>
      <c r="E89" s="167"/>
      <c r="F89" s="167"/>
      <c r="G89" s="167"/>
      <c r="H89" s="167"/>
      <c r="I89" s="168"/>
      <c r="J89" s="168"/>
      <c r="K89" s="168"/>
      <c r="N89" s="195"/>
      <c r="O89" s="195"/>
    </row>
    <row r="90" spans="2:15" ht="17.25" thickBot="1" x14ac:dyDescent="0.35">
      <c r="B90" s="60"/>
      <c r="C90" s="169"/>
      <c r="D90" s="169"/>
      <c r="E90" s="167"/>
      <c r="F90" s="167"/>
      <c r="G90" s="167"/>
      <c r="H90" s="167"/>
      <c r="I90" s="168"/>
      <c r="J90" s="168"/>
      <c r="K90" s="168"/>
      <c r="N90" s="195"/>
      <c r="O90" s="195"/>
    </row>
    <row r="91" spans="2:15" ht="17.25" thickBot="1" x14ac:dyDescent="0.35">
      <c r="B91" s="56" t="s">
        <v>16</v>
      </c>
      <c r="C91" s="37">
        <f>SUM(C71:C90)</f>
        <v>22934.209999999995</v>
      </c>
      <c r="D91" s="38">
        <f>SUM(D71:D90)</f>
        <v>0</v>
      </c>
      <c r="E91" s="38">
        <f>SUM(E71:E88)</f>
        <v>0</v>
      </c>
      <c r="F91" s="170"/>
      <c r="G91" s="170"/>
      <c r="H91" s="170"/>
      <c r="I91" s="171"/>
      <c r="J91" s="172"/>
      <c r="K91" s="172"/>
      <c r="N91" s="195"/>
      <c r="O91" s="196"/>
    </row>
    <row r="92" spans="2:15" ht="16.5" x14ac:dyDescent="0.3">
      <c r="B92" s="17"/>
      <c r="C92" s="39"/>
      <c r="D92" s="39"/>
      <c r="E92" s="39"/>
      <c r="F92" s="39"/>
      <c r="G92" s="39"/>
      <c r="H92" s="39"/>
      <c r="I92" s="17"/>
      <c r="J92" s="17"/>
      <c r="K92" s="17"/>
      <c r="N92" s="195"/>
      <c r="O92" s="195"/>
    </row>
    <row r="93" spans="2:15" ht="16.5" x14ac:dyDescent="0.3">
      <c r="B93" s="15" t="s">
        <v>31</v>
      </c>
      <c r="C93" s="40"/>
      <c r="D93" s="40"/>
      <c r="E93" s="40"/>
      <c r="F93" s="58"/>
      <c r="G93" s="58"/>
      <c r="H93" s="58"/>
      <c r="I93" s="45"/>
      <c r="J93" s="45"/>
      <c r="K93" s="45"/>
      <c r="N93" s="195"/>
      <c r="O93" s="195"/>
    </row>
    <row r="94" spans="2:15" ht="16.5" x14ac:dyDescent="0.3">
      <c r="B94" s="52"/>
      <c r="C94" s="96"/>
      <c r="D94" s="96"/>
      <c r="E94" s="55"/>
      <c r="F94" s="55"/>
      <c r="G94" s="55"/>
      <c r="H94" s="58"/>
      <c r="I94" s="45"/>
      <c r="J94" s="45"/>
      <c r="K94" s="45"/>
      <c r="N94" s="195"/>
      <c r="O94" s="195"/>
    </row>
    <row r="95" spans="2:15" ht="16.5" x14ac:dyDescent="0.3">
      <c r="B95" s="45"/>
      <c r="C95" s="55"/>
      <c r="D95" s="55"/>
      <c r="E95" s="55"/>
      <c r="F95" s="55"/>
      <c r="G95" s="55"/>
      <c r="H95" s="58"/>
      <c r="I95" s="45"/>
      <c r="J95" s="45"/>
      <c r="K95" s="45"/>
      <c r="N95" s="195"/>
      <c r="O95" s="195"/>
    </row>
    <row r="96" spans="2:15" ht="16.5" x14ac:dyDescent="0.3">
      <c r="B96" s="45"/>
      <c r="C96" s="55"/>
      <c r="D96" s="55"/>
      <c r="E96" s="55"/>
      <c r="F96" s="55"/>
      <c r="G96" s="55"/>
      <c r="H96" s="58"/>
      <c r="I96" s="45"/>
      <c r="J96" s="45"/>
      <c r="K96" s="45"/>
      <c r="N96" s="195"/>
      <c r="O96" s="195"/>
    </row>
    <row r="97" spans="2:15" ht="16.5" x14ac:dyDescent="0.3">
      <c r="B97" s="45"/>
      <c r="C97" s="55"/>
      <c r="D97" s="55"/>
      <c r="E97" s="55"/>
      <c r="F97" s="55"/>
      <c r="G97" s="55"/>
      <c r="H97" s="58"/>
      <c r="I97" s="45"/>
      <c r="J97" s="45"/>
      <c r="K97" s="45"/>
      <c r="N97" s="195"/>
      <c r="O97" s="195"/>
    </row>
    <row r="98" spans="2:15" ht="16.5" x14ac:dyDescent="0.3">
      <c r="B98" s="45"/>
      <c r="C98" s="55"/>
      <c r="D98" s="55"/>
      <c r="E98" s="55"/>
      <c r="F98" s="55"/>
      <c r="G98" s="55"/>
      <c r="H98" s="58"/>
      <c r="I98" s="45"/>
      <c r="J98" s="45"/>
      <c r="K98" s="45"/>
      <c r="N98" s="195"/>
      <c r="O98" s="195"/>
    </row>
    <row r="99" spans="2:15" ht="16.5" x14ac:dyDescent="0.3">
      <c r="B99" s="45"/>
      <c r="C99" s="55"/>
      <c r="D99" s="55"/>
      <c r="E99" s="55"/>
      <c r="F99" s="55"/>
      <c r="G99" s="55"/>
      <c r="H99" s="58"/>
      <c r="I99" s="45"/>
      <c r="J99" s="45"/>
      <c r="K99" s="45"/>
      <c r="N99" s="195"/>
      <c r="O99" s="195"/>
    </row>
    <row r="100" spans="2:15" ht="17.25" thickBot="1" x14ac:dyDescent="0.35">
      <c r="B100" s="54"/>
      <c r="C100" s="55"/>
      <c r="D100" s="55"/>
      <c r="E100" s="55"/>
      <c r="F100" s="58"/>
      <c r="G100" s="58"/>
      <c r="H100" s="58"/>
      <c r="I100" s="45"/>
      <c r="J100" s="45"/>
      <c r="K100" s="45"/>
      <c r="N100" s="195"/>
      <c r="O100" s="195"/>
    </row>
    <row r="101" spans="2:15" ht="13.5" thickBot="1" x14ac:dyDescent="0.25">
      <c r="B101" s="56" t="s">
        <v>16</v>
      </c>
      <c r="C101" s="59">
        <f>SUM(C94:C99)</f>
        <v>0</v>
      </c>
      <c r="D101" s="59">
        <f>SUM(D94:D100)</f>
        <v>0</v>
      </c>
      <c r="E101" s="59">
        <f>SUM(E94:E99)</f>
        <v>0</v>
      </c>
      <c r="F101" s="59">
        <f>SUM(F94:F96)</f>
        <v>0</v>
      </c>
      <c r="G101" s="38">
        <f>SUM(G94:G96)</f>
        <v>0</v>
      </c>
      <c r="H101" s="170"/>
      <c r="I101" s="171"/>
      <c r="J101" s="172"/>
      <c r="K101" s="172"/>
    </row>
    <row r="102" spans="2:15" x14ac:dyDescent="0.2">
      <c r="B102" s="17"/>
      <c r="C102" s="39"/>
      <c r="D102" s="39"/>
      <c r="E102" s="39"/>
      <c r="F102" s="39"/>
      <c r="G102" s="39"/>
      <c r="H102" s="39"/>
      <c r="I102" s="17"/>
      <c r="J102" s="17"/>
      <c r="K102" s="17"/>
    </row>
    <row r="103" spans="2:15" x14ac:dyDescent="0.2">
      <c r="B103" s="15" t="s">
        <v>32</v>
      </c>
      <c r="C103" s="40"/>
      <c r="D103" s="40"/>
      <c r="E103" s="40"/>
      <c r="F103" s="58"/>
      <c r="G103" s="58"/>
      <c r="H103" s="58"/>
      <c r="I103" s="45"/>
      <c r="J103" s="45"/>
      <c r="K103" s="154"/>
    </row>
    <row r="104" spans="2:15" ht="16.5" x14ac:dyDescent="0.3">
      <c r="B104" s="188" t="s">
        <v>239</v>
      </c>
      <c r="C104" s="231">
        <f>1133.33/5.68</f>
        <v>199.5299295774648</v>
      </c>
      <c r="D104" s="45"/>
      <c r="E104" s="40"/>
      <c r="F104" s="55"/>
      <c r="G104" s="55"/>
      <c r="H104" s="40"/>
      <c r="I104" s="45"/>
      <c r="J104" s="45"/>
      <c r="K104" s="154"/>
    </row>
    <row r="105" spans="2:15" ht="16.5" x14ac:dyDescent="0.3">
      <c r="B105" s="188" t="s">
        <v>239</v>
      </c>
      <c r="C105" s="231">
        <f>1133.33/5.68</f>
        <v>199.5299295774648</v>
      </c>
      <c r="D105" s="45"/>
      <c r="E105" s="40"/>
      <c r="F105" s="55"/>
      <c r="G105" s="55"/>
      <c r="H105" s="40"/>
      <c r="I105" s="45"/>
      <c r="J105" s="45"/>
      <c r="K105" s="154"/>
    </row>
    <row r="106" spans="2:15" ht="16.5" x14ac:dyDescent="0.3">
      <c r="B106" s="188" t="s">
        <v>239</v>
      </c>
      <c r="C106" s="231">
        <f>853.33/5.68</f>
        <v>150.23415492957747</v>
      </c>
      <c r="D106" s="45"/>
      <c r="E106" s="40"/>
      <c r="F106" s="55"/>
      <c r="G106" s="55"/>
      <c r="H106" s="40"/>
      <c r="I106" s="45"/>
      <c r="J106" s="45"/>
      <c r="K106" s="154"/>
    </row>
    <row r="107" spans="2:15" ht="16.5" x14ac:dyDescent="0.3">
      <c r="B107" s="188" t="s">
        <v>239</v>
      </c>
      <c r="C107" s="231">
        <f>826.67/5.68</f>
        <v>145.54049295774647</v>
      </c>
      <c r="D107" s="45"/>
      <c r="E107" s="40"/>
      <c r="F107" s="55"/>
      <c r="G107" s="55"/>
      <c r="H107" s="40"/>
      <c r="I107" s="45"/>
      <c r="J107" s="45"/>
      <c r="K107" s="154"/>
    </row>
    <row r="108" spans="2:15" ht="16.5" x14ac:dyDescent="0.3">
      <c r="B108" s="188" t="s">
        <v>239</v>
      </c>
      <c r="C108" s="231">
        <f>933.33/5.68</f>
        <v>164.31866197183101</v>
      </c>
      <c r="D108" s="45"/>
      <c r="E108" s="40"/>
      <c r="F108" s="55"/>
      <c r="G108" s="55"/>
      <c r="H108" s="40"/>
      <c r="I108" s="45"/>
      <c r="J108" s="45"/>
      <c r="K108" s="154"/>
    </row>
    <row r="109" spans="2:15" ht="16.5" x14ac:dyDescent="0.3">
      <c r="B109" s="188" t="s">
        <v>246</v>
      </c>
      <c r="C109" s="231">
        <f>5100/5.68</f>
        <v>897.88732394366207</v>
      </c>
      <c r="D109" s="45"/>
      <c r="E109" s="40"/>
      <c r="F109" s="55"/>
      <c r="G109" s="55"/>
      <c r="H109" s="40"/>
      <c r="I109" s="45"/>
      <c r="J109" s="45"/>
      <c r="K109" s="154"/>
    </row>
    <row r="110" spans="2:15" ht="17.25" thickBot="1" x14ac:dyDescent="0.35">
      <c r="B110" s="188"/>
      <c r="C110" s="231"/>
      <c r="D110" s="40"/>
      <c r="E110" s="40"/>
      <c r="F110" s="58"/>
      <c r="G110" s="58"/>
      <c r="H110" s="58"/>
      <c r="I110" s="45"/>
      <c r="J110" s="45"/>
      <c r="K110" s="154"/>
    </row>
    <row r="111" spans="2:15" ht="13.5" thickBot="1" x14ac:dyDescent="0.25">
      <c r="B111" s="56" t="s">
        <v>16</v>
      </c>
      <c r="C111" s="38">
        <f>SUM(C104:C110)</f>
        <v>1757.0404929577467</v>
      </c>
      <c r="D111" s="38">
        <f>SUM(D104:D110)</f>
        <v>0</v>
      </c>
      <c r="E111" s="38">
        <f>SUM(E104)</f>
        <v>0</v>
      </c>
      <c r="F111" s="38">
        <f>SUM(F104)</f>
        <v>0</v>
      </c>
      <c r="G111" s="38">
        <f>SUM(G104)</f>
        <v>0</v>
      </c>
      <c r="H111" s="170">
        <f>F111-G111</f>
        <v>0</v>
      </c>
      <c r="I111" s="171"/>
      <c r="J111" s="172"/>
      <c r="K111" s="172"/>
    </row>
    <row r="112" spans="2:15" x14ac:dyDescent="0.2">
      <c r="B112" s="17"/>
      <c r="C112" s="39"/>
      <c r="D112" s="39"/>
      <c r="E112" s="39"/>
      <c r="F112" s="39"/>
      <c r="G112" s="39"/>
      <c r="H112" s="39"/>
      <c r="I112" s="17"/>
      <c r="J112" s="17"/>
      <c r="K112" s="17"/>
    </row>
    <row r="113" spans="2:11" x14ac:dyDescent="0.2">
      <c r="B113" s="15" t="s">
        <v>33</v>
      </c>
      <c r="C113" s="182"/>
      <c r="D113" s="182"/>
      <c r="E113" s="40"/>
      <c r="F113" s="58"/>
      <c r="G113" s="58"/>
      <c r="H113" s="58"/>
      <c r="I113" s="45"/>
      <c r="J113" s="45"/>
      <c r="K113" s="154"/>
    </row>
    <row r="114" spans="2:11" s="179" customFormat="1" ht="16.5" x14ac:dyDescent="0.3">
      <c r="B114" s="190" t="s">
        <v>155</v>
      </c>
      <c r="C114" s="181">
        <f>886.11/5.68</f>
        <v>156.00528169014086</v>
      </c>
      <c r="E114" s="178"/>
      <c r="F114" s="169"/>
      <c r="G114" s="169"/>
      <c r="H114" s="178"/>
      <c r="I114" s="168"/>
      <c r="J114" s="168"/>
      <c r="K114" s="99"/>
    </row>
    <row r="115" spans="2:11" ht="16.5" x14ac:dyDescent="0.3">
      <c r="B115" s="190" t="s">
        <v>90</v>
      </c>
      <c r="C115" s="181">
        <f>1932.44/5.68</f>
        <v>340.21830985915494</v>
      </c>
      <c r="D115" s="189"/>
      <c r="E115" s="40"/>
      <c r="F115" s="55"/>
      <c r="G115" s="55"/>
      <c r="H115" s="40"/>
      <c r="I115" s="45"/>
      <c r="J115" s="45"/>
      <c r="K115" s="154"/>
    </row>
    <row r="116" spans="2:11" ht="16.5" x14ac:dyDescent="0.3">
      <c r="B116" s="190" t="s">
        <v>90</v>
      </c>
      <c r="C116" s="181">
        <f>475.25/5.68</f>
        <v>83.670774647887328</v>
      </c>
      <c r="D116" s="189"/>
      <c r="E116" s="40"/>
      <c r="F116" s="55"/>
      <c r="G116" s="55"/>
      <c r="H116" s="40"/>
      <c r="I116" s="45"/>
      <c r="J116" s="45"/>
      <c r="K116" s="154"/>
    </row>
    <row r="117" spans="2:11" ht="16.5" x14ac:dyDescent="0.3">
      <c r="B117" s="190" t="s">
        <v>91</v>
      </c>
      <c r="C117" s="181">
        <f>632.37/5.68</f>
        <v>111.33274647887325</v>
      </c>
      <c r="D117" s="189"/>
      <c r="E117" s="40"/>
      <c r="F117" s="55"/>
      <c r="G117" s="55"/>
      <c r="H117" s="40"/>
      <c r="I117" s="45"/>
      <c r="J117" s="45"/>
      <c r="K117" s="154"/>
    </row>
    <row r="118" spans="2:11" ht="16.5" x14ac:dyDescent="0.3">
      <c r="B118" s="190" t="s">
        <v>90</v>
      </c>
      <c r="C118" s="181">
        <f>1457.19/5.68</f>
        <v>256.54753521126764</v>
      </c>
      <c r="D118" s="189"/>
      <c r="E118" s="40"/>
      <c r="F118" s="55"/>
      <c r="G118" s="55"/>
      <c r="H118" s="40"/>
      <c r="I118" s="45"/>
      <c r="J118" s="45"/>
      <c r="K118" s="154"/>
    </row>
    <row r="119" spans="2:11" ht="16.5" x14ac:dyDescent="0.3">
      <c r="B119" s="190" t="s">
        <v>92</v>
      </c>
      <c r="C119" s="181">
        <f>1724.28/5.68</f>
        <v>303.57042253521126</v>
      </c>
      <c r="D119" s="189"/>
      <c r="E119" s="40"/>
      <c r="F119" s="55"/>
      <c r="G119" s="55"/>
      <c r="H119" s="40"/>
      <c r="I119" s="45"/>
      <c r="J119" s="45"/>
      <c r="K119" s="154"/>
    </row>
    <row r="120" spans="2:11" ht="16.5" x14ac:dyDescent="0.3">
      <c r="B120" s="190" t="s">
        <v>93</v>
      </c>
      <c r="C120" s="181">
        <f>3430/5.68</f>
        <v>603.87323943661977</v>
      </c>
      <c r="D120" s="189"/>
      <c r="E120" s="40"/>
      <c r="F120" s="55"/>
      <c r="G120" s="55"/>
      <c r="H120" s="40"/>
      <c r="I120" s="45"/>
      <c r="J120" s="45"/>
      <c r="K120" s="154"/>
    </row>
    <row r="121" spans="2:11" ht="16.5" x14ac:dyDescent="0.3">
      <c r="B121" s="190" t="s">
        <v>94</v>
      </c>
      <c r="C121" s="181">
        <f>938/5.68</f>
        <v>165.14084507042256</v>
      </c>
      <c r="D121" s="189"/>
      <c r="E121" s="40"/>
      <c r="F121" s="55"/>
      <c r="G121" s="55"/>
      <c r="H121" s="40"/>
      <c r="I121" s="45"/>
      <c r="J121" s="45"/>
      <c r="K121" s="154"/>
    </row>
    <row r="122" spans="2:11" ht="16.5" x14ac:dyDescent="0.3">
      <c r="B122" s="190" t="s">
        <v>95</v>
      </c>
      <c r="C122" s="181">
        <f>23110/5.68</f>
        <v>4068.6619718309862</v>
      </c>
      <c r="D122" s="189"/>
      <c r="E122" s="40"/>
      <c r="F122" s="55"/>
      <c r="G122" s="55"/>
      <c r="H122" s="40"/>
      <c r="I122" s="45"/>
      <c r="J122" s="45"/>
      <c r="K122" s="154"/>
    </row>
    <row r="123" spans="2:11" ht="16.5" x14ac:dyDescent="0.3">
      <c r="B123" s="190" t="s">
        <v>96</v>
      </c>
      <c r="C123" s="181">
        <f>560/5.68</f>
        <v>98.591549295774655</v>
      </c>
      <c r="D123" s="189"/>
      <c r="E123" s="40"/>
      <c r="F123" s="55"/>
      <c r="G123" s="55"/>
      <c r="H123" s="40"/>
      <c r="I123" s="45"/>
      <c r="J123" s="45"/>
      <c r="K123" s="154"/>
    </row>
    <row r="124" spans="2:11" ht="16.5" x14ac:dyDescent="0.3">
      <c r="B124" s="190" t="s">
        <v>97</v>
      </c>
      <c r="C124" s="181">
        <f>620/5.68</f>
        <v>109.1549295774648</v>
      </c>
      <c r="D124" s="189"/>
      <c r="E124" s="40"/>
      <c r="F124" s="55"/>
      <c r="G124" s="55"/>
      <c r="H124" s="40"/>
      <c r="I124" s="45"/>
      <c r="J124" s="45"/>
      <c r="K124" s="154"/>
    </row>
    <row r="125" spans="2:11" ht="16.5" x14ac:dyDescent="0.3">
      <c r="B125" s="190" t="s">
        <v>98</v>
      </c>
      <c r="C125" s="181">
        <f>1008/5.68</f>
        <v>177.46478873239437</v>
      </c>
      <c r="D125" s="184"/>
      <c r="E125" s="40"/>
      <c r="F125" s="55"/>
      <c r="G125" s="55"/>
      <c r="H125" s="40"/>
      <c r="I125" s="45"/>
      <c r="J125" s="45"/>
      <c r="K125" s="154"/>
    </row>
    <row r="126" spans="2:11" ht="16.5" x14ac:dyDescent="0.3">
      <c r="B126" s="190" t="s">
        <v>99</v>
      </c>
      <c r="C126" s="181">
        <f>826.67/5.68</f>
        <v>145.54049295774647</v>
      </c>
      <c r="D126" s="189"/>
      <c r="E126" s="40"/>
      <c r="F126" s="55"/>
      <c r="G126" s="55"/>
      <c r="H126" s="40"/>
      <c r="I126" s="45"/>
      <c r="J126" s="45"/>
      <c r="K126" s="154"/>
    </row>
    <row r="127" spans="2:11" ht="16.5" x14ac:dyDescent="0.3">
      <c r="B127" s="190" t="s">
        <v>100</v>
      </c>
      <c r="C127" s="181">
        <f>1050/5.68</f>
        <v>184.85915492957747</v>
      </c>
      <c r="D127" s="189"/>
      <c r="E127" s="40"/>
      <c r="F127" s="55"/>
      <c r="G127" s="55"/>
      <c r="H127" s="40"/>
      <c r="I127" s="45"/>
      <c r="J127" s="45"/>
      <c r="K127" s="154"/>
    </row>
    <row r="128" spans="2:11" ht="16.5" x14ac:dyDescent="0.3">
      <c r="B128" s="190" t="s">
        <v>103</v>
      </c>
      <c r="C128" s="181">
        <f>850/5.68</f>
        <v>149.64788732394368</v>
      </c>
      <c r="D128" s="189"/>
      <c r="E128" s="40"/>
      <c r="F128" s="55"/>
      <c r="G128" s="55"/>
      <c r="H128" s="40"/>
      <c r="I128" s="45"/>
      <c r="J128" s="45"/>
      <c r="K128" s="154"/>
    </row>
    <row r="129" spans="2:11" ht="16.5" x14ac:dyDescent="0.3">
      <c r="B129" s="190" t="s">
        <v>104</v>
      </c>
      <c r="C129" s="181">
        <f>850/5.68</f>
        <v>149.64788732394368</v>
      </c>
      <c r="D129" s="189"/>
      <c r="E129" s="40"/>
      <c r="F129" s="55"/>
      <c r="G129" s="55"/>
      <c r="H129" s="40"/>
      <c r="I129" s="45"/>
      <c r="J129" s="45"/>
      <c r="K129" s="154"/>
    </row>
    <row r="130" spans="2:11" ht="16.5" x14ac:dyDescent="0.3">
      <c r="B130" s="190" t="s">
        <v>108</v>
      </c>
      <c r="C130" s="181">
        <f>2080.85/5.68</f>
        <v>366.34683098591552</v>
      </c>
      <c r="D130" s="189"/>
      <c r="E130" s="40"/>
      <c r="F130" s="55"/>
      <c r="G130" s="55"/>
      <c r="H130" s="40"/>
      <c r="I130" s="45"/>
      <c r="J130" s="45"/>
      <c r="K130" s="154"/>
    </row>
    <row r="131" spans="2:11" ht="16.5" x14ac:dyDescent="0.3">
      <c r="B131" s="190" t="s">
        <v>108</v>
      </c>
      <c r="C131" s="181">
        <f>623.66/5.68</f>
        <v>109.79929577464789</v>
      </c>
      <c r="D131" s="189"/>
      <c r="E131" s="40"/>
      <c r="F131" s="55"/>
      <c r="G131" s="55"/>
      <c r="H131" s="40"/>
      <c r="I131" s="45"/>
      <c r="J131" s="45"/>
      <c r="K131" s="154"/>
    </row>
    <row r="132" spans="2:11" ht="16.5" x14ac:dyDescent="0.3">
      <c r="B132" s="190" t="s">
        <v>108</v>
      </c>
      <c r="C132" s="181">
        <f>1457.19/5.68</f>
        <v>256.54753521126764</v>
      </c>
      <c r="D132" s="189"/>
      <c r="E132" s="40"/>
      <c r="F132" s="55"/>
      <c r="G132" s="55"/>
      <c r="H132" s="40"/>
      <c r="I132" s="45"/>
      <c r="J132" s="45"/>
      <c r="K132" s="154"/>
    </row>
    <row r="133" spans="2:11" ht="16.5" x14ac:dyDescent="0.3">
      <c r="B133" s="190" t="s">
        <v>109</v>
      </c>
      <c r="C133" s="181">
        <f>695.33/5.68</f>
        <v>122.41725352112677</v>
      </c>
      <c r="D133" s="189"/>
      <c r="E133" s="40"/>
      <c r="F133" s="55"/>
      <c r="G133" s="55"/>
      <c r="H133" s="40"/>
      <c r="I133" s="45"/>
      <c r="J133" s="45"/>
      <c r="K133" s="154"/>
    </row>
    <row r="134" spans="2:11" ht="16.5" x14ac:dyDescent="0.3">
      <c r="B134" s="190" t="s">
        <v>110</v>
      </c>
      <c r="C134" s="232">
        <f>1855.4/5.68</f>
        <v>326.65492957746483</v>
      </c>
      <c r="D134" s="189"/>
      <c r="E134" s="40"/>
      <c r="F134" s="55"/>
      <c r="G134" s="55"/>
      <c r="H134" s="40"/>
      <c r="I134" s="45"/>
      <c r="J134" s="45"/>
      <c r="K134" s="154"/>
    </row>
    <row r="135" spans="2:11" ht="16.5" x14ac:dyDescent="0.3">
      <c r="B135" s="190" t="s">
        <v>111</v>
      </c>
      <c r="C135" s="181">
        <f>27644.6/5.68</f>
        <v>4867.0070422535209</v>
      </c>
      <c r="D135" s="189"/>
      <c r="E135" s="40"/>
      <c r="F135" s="55"/>
      <c r="G135" s="55"/>
      <c r="H135" s="40"/>
      <c r="I135" s="45"/>
      <c r="J135" s="45"/>
      <c r="K135" s="154"/>
    </row>
    <row r="136" spans="2:11" ht="16.5" x14ac:dyDescent="0.3">
      <c r="B136" s="190" t="s">
        <v>112</v>
      </c>
      <c r="C136" s="181">
        <f>2550/5.68</f>
        <v>448.94366197183103</v>
      </c>
      <c r="D136" s="189"/>
      <c r="E136" s="40"/>
      <c r="F136" s="55"/>
      <c r="G136" s="55"/>
      <c r="H136" s="40"/>
      <c r="I136" s="45"/>
      <c r="J136" s="45"/>
      <c r="K136" s="154"/>
    </row>
    <row r="137" spans="2:11" ht="16.5" x14ac:dyDescent="0.3">
      <c r="B137" s="190" t="s">
        <v>113</v>
      </c>
      <c r="C137" s="181">
        <f>850/5.68</f>
        <v>149.64788732394368</v>
      </c>
      <c r="D137" s="189"/>
      <c r="E137" s="40"/>
      <c r="F137" s="55"/>
      <c r="G137" s="55"/>
      <c r="H137" s="40"/>
      <c r="I137" s="45"/>
      <c r="J137" s="45"/>
      <c r="K137" s="154"/>
    </row>
    <row r="138" spans="2:11" ht="16.5" x14ac:dyDescent="0.3">
      <c r="B138" s="190" t="s">
        <v>113</v>
      </c>
      <c r="C138" s="181">
        <f>850/5.68</f>
        <v>149.64788732394368</v>
      </c>
      <c r="D138" s="189"/>
      <c r="E138" s="40"/>
      <c r="F138" s="55"/>
      <c r="G138" s="55"/>
      <c r="H138" s="40"/>
      <c r="I138" s="45"/>
      <c r="J138" s="45"/>
      <c r="K138" s="154"/>
    </row>
    <row r="139" spans="2:11" ht="16.5" x14ac:dyDescent="0.3">
      <c r="B139" s="190" t="s">
        <v>113</v>
      </c>
      <c r="C139" s="181">
        <f>700/5.68</f>
        <v>123.23943661971832</v>
      </c>
      <c r="D139" s="189"/>
      <c r="E139" s="40"/>
      <c r="F139" s="55"/>
      <c r="G139" s="55"/>
      <c r="H139" s="40"/>
      <c r="I139" s="45"/>
      <c r="J139" s="45"/>
      <c r="K139" s="154"/>
    </row>
    <row r="140" spans="2:11" ht="16.5" x14ac:dyDescent="0.3">
      <c r="B140" s="190" t="s">
        <v>114</v>
      </c>
      <c r="C140" s="181">
        <f>420/5.68</f>
        <v>73.943661971830991</v>
      </c>
      <c r="D140" s="45"/>
      <c r="E140" s="40"/>
      <c r="F140" s="55"/>
      <c r="G140" s="55"/>
      <c r="H140" s="40"/>
      <c r="I140" s="45"/>
      <c r="J140" s="45"/>
      <c r="K140" s="154"/>
    </row>
    <row r="141" spans="2:11" ht="16.5" x14ac:dyDescent="0.3">
      <c r="B141" s="190" t="s">
        <v>138</v>
      </c>
      <c r="C141" s="181">
        <f>1993.4/5.68</f>
        <v>350.95070422535213</v>
      </c>
      <c r="D141" s="45"/>
      <c r="E141" s="40"/>
      <c r="F141" s="55"/>
      <c r="G141" s="55"/>
      <c r="H141" s="40"/>
      <c r="I141" s="45"/>
      <c r="J141" s="45"/>
      <c r="K141" s="154"/>
    </row>
    <row r="142" spans="2:11" s="179" customFormat="1" ht="16.5" x14ac:dyDescent="0.3">
      <c r="B142" s="190" t="s">
        <v>115</v>
      </c>
      <c r="C142" s="181">
        <f>800/5.68</f>
        <v>140.84507042253523</v>
      </c>
      <c r="D142" s="168"/>
      <c r="E142" s="178"/>
      <c r="F142" s="169"/>
      <c r="G142" s="169"/>
      <c r="H142" s="178"/>
      <c r="I142" s="168"/>
      <c r="J142" s="168"/>
      <c r="K142" s="99"/>
    </row>
    <row r="143" spans="2:11" ht="16.5" x14ac:dyDescent="0.3">
      <c r="B143" s="190" t="s">
        <v>116</v>
      </c>
      <c r="C143" s="181">
        <f>425/5.68</f>
        <v>74.823943661971839</v>
      </c>
      <c r="D143" s="45"/>
      <c r="E143" s="40"/>
      <c r="F143" s="55"/>
      <c r="G143" s="55"/>
      <c r="H143" s="40"/>
      <c r="I143" s="45"/>
      <c r="J143" s="45"/>
      <c r="K143" s="154"/>
    </row>
    <row r="144" spans="2:11" ht="16.5" x14ac:dyDescent="0.3">
      <c r="B144" s="190" t="s">
        <v>117</v>
      </c>
      <c r="C144" s="181">
        <f>1552.58/5.68</f>
        <v>273.34154929577466</v>
      </c>
      <c r="D144" s="45"/>
      <c r="E144" s="40"/>
      <c r="F144" s="55"/>
      <c r="G144" s="55"/>
      <c r="H144" s="40"/>
      <c r="I144" s="45"/>
      <c r="J144" s="45"/>
      <c r="K144" s="154"/>
    </row>
    <row r="145" spans="2:11" ht="16.5" x14ac:dyDescent="0.3">
      <c r="B145" s="190" t="s">
        <v>118</v>
      </c>
      <c r="C145" s="181">
        <f>92.25/5.68</f>
        <v>16.241197183098592</v>
      </c>
      <c r="D145" s="45"/>
      <c r="E145" s="40"/>
      <c r="F145" s="55"/>
      <c r="G145" s="55"/>
      <c r="H145" s="40"/>
      <c r="I145" s="45"/>
      <c r="J145" s="45"/>
      <c r="K145" s="154"/>
    </row>
    <row r="146" spans="2:11" ht="16.5" x14ac:dyDescent="0.3">
      <c r="B146" s="190" t="s">
        <v>119</v>
      </c>
      <c r="C146" s="181">
        <f>118.19/5.68</f>
        <v>20.808098591549296</v>
      </c>
      <c r="D146" s="45"/>
      <c r="E146" s="40"/>
      <c r="F146" s="55"/>
      <c r="G146" s="55"/>
      <c r="H146" s="40"/>
      <c r="I146" s="45"/>
      <c r="J146" s="45"/>
      <c r="K146" s="154"/>
    </row>
    <row r="147" spans="2:11" ht="16.5" x14ac:dyDescent="0.3">
      <c r="B147" s="190" t="s">
        <v>120</v>
      </c>
      <c r="C147" s="181">
        <f>1776.71/5.68</f>
        <v>312.80105633802822</v>
      </c>
      <c r="D147" s="45"/>
      <c r="E147" s="40"/>
      <c r="F147" s="55"/>
      <c r="G147" s="55"/>
      <c r="H147" s="40"/>
      <c r="I147" s="45"/>
      <c r="J147" s="45"/>
      <c r="K147" s="154"/>
    </row>
    <row r="148" spans="2:11" s="179" customFormat="1" ht="16.5" x14ac:dyDescent="0.3">
      <c r="B148" s="190" t="s">
        <v>121</v>
      </c>
      <c r="C148" s="181">
        <f>2323.5/5.68</f>
        <v>409.06690140845075</v>
      </c>
      <c r="D148" s="168"/>
      <c r="E148" s="178"/>
      <c r="F148" s="169"/>
      <c r="G148" s="169"/>
      <c r="H148" s="178"/>
      <c r="I148" s="168"/>
      <c r="J148" s="168"/>
      <c r="K148" s="99"/>
    </row>
    <row r="149" spans="2:11" ht="16.5" x14ac:dyDescent="0.3">
      <c r="B149" s="190" t="s">
        <v>122</v>
      </c>
      <c r="C149" s="181">
        <f>70.5/5.68</f>
        <v>12.411971830985916</v>
      </c>
      <c r="D149" s="45"/>
      <c r="E149" s="40"/>
      <c r="F149" s="55"/>
      <c r="G149" s="55"/>
      <c r="H149" s="40"/>
      <c r="I149" s="45"/>
      <c r="J149" s="45"/>
      <c r="K149" s="154"/>
    </row>
    <row r="150" spans="2:11" ht="16.5" x14ac:dyDescent="0.3">
      <c r="B150" s="190" t="s">
        <v>123</v>
      </c>
      <c r="C150" s="181">
        <f>839.95/5.68</f>
        <v>147.87852112676057</v>
      </c>
      <c r="D150" s="45"/>
      <c r="E150" s="40"/>
      <c r="F150" s="55"/>
      <c r="G150" s="55"/>
      <c r="H150" s="40"/>
      <c r="I150" s="45"/>
      <c r="J150" s="45"/>
      <c r="K150" s="154"/>
    </row>
    <row r="151" spans="2:11" ht="16.5" x14ac:dyDescent="0.3">
      <c r="B151" s="190" t="s">
        <v>124</v>
      </c>
      <c r="C151" s="181">
        <f>828/5.68</f>
        <v>145.77464788732394</v>
      </c>
      <c r="D151" s="45"/>
      <c r="E151" s="40"/>
      <c r="F151" s="55"/>
      <c r="G151" s="55"/>
      <c r="H151" s="40"/>
      <c r="I151" s="45"/>
      <c r="J151" s="45"/>
      <c r="K151" s="154"/>
    </row>
    <row r="152" spans="2:11" ht="16.5" x14ac:dyDescent="0.3">
      <c r="B152" s="190" t="s">
        <v>125</v>
      </c>
      <c r="C152" s="181">
        <f>2800/5.68</f>
        <v>492.95774647887328</v>
      </c>
      <c r="D152" s="45"/>
      <c r="E152" s="40"/>
      <c r="F152" s="55"/>
      <c r="G152" s="55"/>
      <c r="H152" s="40"/>
      <c r="I152" s="45"/>
      <c r="J152" s="45"/>
      <c r="K152" s="154"/>
    </row>
    <row r="153" spans="2:11" ht="16.5" x14ac:dyDescent="0.3">
      <c r="B153" s="190" t="s">
        <v>126</v>
      </c>
      <c r="C153" s="181">
        <f>84/5.68</f>
        <v>14.788732394366198</v>
      </c>
      <c r="D153" s="45"/>
      <c r="E153" s="40"/>
      <c r="F153" s="55"/>
      <c r="G153" s="55"/>
      <c r="H153" s="40"/>
      <c r="I153" s="45"/>
      <c r="J153" s="45"/>
      <c r="K153" s="154"/>
    </row>
    <row r="154" spans="2:11" ht="16.5" x14ac:dyDescent="0.3">
      <c r="B154" s="190" t="s">
        <v>127</v>
      </c>
      <c r="C154" s="181">
        <f>534.45/5.68</f>
        <v>94.093309859154942</v>
      </c>
      <c r="D154" s="45"/>
      <c r="E154" s="40"/>
      <c r="F154" s="55"/>
      <c r="G154" s="55"/>
      <c r="H154" s="40"/>
      <c r="I154" s="45"/>
      <c r="J154" s="45"/>
      <c r="K154" s="154"/>
    </row>
    <row r="155" spans="2:11" ht="16.5" x14ac:dyDescent="0.3">
      <c r="B155" s="190" t="s">
        <v>128</v>
      </c>
      <c r="C155" s="181">
        <f>35.55/5.68</f>
        <v>6.2588028169014081</v>
      </c>
      <c r="D155" s="45"/>
      <c r="E155" s="40"/>
      <c r="F155" s="55"/>
      <c r="G155" s="55"/>
      <c r="H155" s="40"/>
      <c r="I155" s="45"/>
      <c r="J155" s="45"/>
      <c r="K155" s="154"/>
    </row>
    <row r="156" spans="2:11" ht="16.5" x14ac:dyDescent="0.3">
      <c r="B156" s="190" t="s">
        <v>129</v>
      </c>
      <c r="C156" s="181">
        <f>1000/5.68</f>
        <v>176.05633802816902</v>
      </c>
      <c r="D156" s="45"/>
      <c r="E156" s="40"/>
      <c r="F156" s="55"/>
      <c r="G156" s="55"/>
      <c r="H156" s="40"/>
      <c r="I156" s="45"/>
      <c r="J156" s="45"/>
      <c r="K156" s="154"/>
    </row>
    <row r="157" spans="2:11" ht="16.5" x14ac:dyDescent="0.3">
      <c r="B157" s="190" t="s">
        <v>130</v>
      </c>
      <c r="C157" s="181">
        <f>1983.33/5.68</f>
        <v>349.17781690140845</v>
      </c>
      <c r="D157" s="45"/>
      <c r="E157" s="40"/>
      <c r="F157" s="55"/>
      <c r="G157" s="55"/>
      <c r="H157" s="40"/>
      <c r="I157" s="45"/>
      <c r="J157" s="45"/>
      <c r="K157" s="154"/>
    </row>
    <row r="158" spans="2:11" ht="16.5" x14ac:dyDescent="0.3">
      <c r="B158" s="190" t="s">
        <v>131</v>
      </c>
      <c r="C158" s="181">
        <f>1983.33/5.68</f>
        <v>349.17781690140845</v>
      </c>
      <c r="D158" s="45"/>
      <c r="E158" s="40"/>
      <c r="F158" s="55"/>
      <c r="G158" s="55"/>
      <c r="H158" s="40"/>
      <c r="I158" s="45"/>
      <c r="J158" s="45"/>
      <c r="K158" s="154"/>
    </row>
    <row r="159" spans="2:11" ht="16.5" x14ac:dyDescent="0.3">
      <c r="B159" s="190" t="s">
        <v>132</v>
      </c>
      <c r="C159" s="181">
        <f>1470/5.68</f>
        <v>258.80281690140845</v>
      </c>
      <c r="D159" s="45"/>
      <c r="E159" s="40"/>
      <c r="F159" s="55"/>
      <c r="G159" s="55"/>
      <c r="H159" s="40"/>
      <c r="I159" s="45"/>
      <c r="J159" s="45"/>
      <c r="K159" s="154"/>
    </row>
    <row r="160" spans="2:11" s="179" customFormat="1" ht="16.5" x14ac:dyDescent="0.3">
      <c r="B160" s="190" t="s">
        <v>133</v>
      </c>
      <c r="C160" s="181">
        <f>1470/5.68</f>
        <v>258.80281690140845</v>
      </c>
      <c r="D160" s="168"/>
      <c r="E160" s="178"/>
      <c r="F160" s="169"/>
      <c r="G160" s="169"/>
      <c r="H160" s="178"/>
      <c r="I160" s="168"/>
      <c r="J160" s="168"/>
      <c r="K160" s="99"/>
    </row>
    <row r="161" spans="2:11" ht="16.5" x14ac:dyDescent="0.3">
      <c r="B161" s="190" t="s">
        <v>134</v>
      </c>
      <c r="C161" s="181">
        <f>2286.66/5.68</f>
        <v>402.58098591549293</v>
      </c>
      <c r="D161" s="45"/>
      <c r="E161" s="40"/>
      <c r="F161" s="55"/>
      <c r="G161" s="55"/>
      <c r="H161" s="40"/>
      <c r="I161" s="45"/>
      <c r="J161" s="45"/>
      <c r="K161" s="45"/>
    </row>
    <row r="162" spans="2:11" ht="16.5" x14ac:dyDescent="0.3">
      <c r="B162" s="190" t="s">
        <v>135</v>
      </c>
      <c r="C162" s="181">
        <f>1493.33/5.68</f>
        <v>262.91021126760563</v>
      </c>
      <c r="D162" s="45"/>
      <c r="E162" s="40"/>
      <c r="F162" s="55"/>
      <c r="G162" s="55"/>
      <c r="H162" s="40"/>
      <c r="I162" s="45"/>
      <c r="J162" s="45"/>
      <c r="K162" s="45"/>
    </row>
    <row r="163" spans="2:11" s="179" customFormat="1" ht="16.5" x14ac:dyDescent="0.3">
      <c r="B163" s="190" t="s">
        <v>136</v>
      </c>
      <c r="C163" s="181">
        <f>1446.66/5.68</f>
        <v>254.69366197183101</v>
      </c>
      <c r="D163" s="168"/>
      <c r="E163" s="178"/>
      <c r="F163" s="169"/>
      <c r="G163" s="169"/>
      <c r="H163" s="178"/>
      <c r="I163" s="168"/>
      <c r="J163" s="168"/>
      <c r="K163" s="168"/>
    </row>
    <row r="164" spans="2:11" ht="16.5" x14ac:dyDescent="0.3">
      <c r="B164" s="190" t="s">
        <v>137</v>
      </c>
      <c r="C164" s="181">
        <f>1446.66/5.68</f>
        <v>254.69366197183101</v>
      </c>
      <c r="D164" s="45"/>
      <c r="E164" s="40"/>
      <c r="F164" s="55"/>
      <c r="G164" s="55"/>
      <c r="H164" s="40"/>
      <c r="I164" s="45"/>
      <c r="J164" s="45"/>
      <c r="K164" s="45"/>
    </row>
    <row r="165" spans="2:11" ht="16.5" x14ac:dyDescent="0.3">
      <c r="B165" s="190" t="s">
        <v>137</v>
      </c>
      <c r="C165" s="181">
        <f>5177.9/5.68</f>
        <v>911.60211267605632</v>
      </c>
      <c r="D165" s="45"/>
      <c r="E165" s="40"/>
      <c r="F165" s="55"/>
      <c r="G165" s="55"/>
      <c r="H165" s="40"/>
      <c r="I165" s="45"/>
      <c r="J165" s="45"/>
      <c r="K165" s="45"/>
    </row>
    <row r="166" spans="2:11" ht="16.5" x14ac:dyDescent="0.3">
      <c r="B166" s="190" t="s">
        <v>140</v>
      </c>
      <c r="C166" s="181">
        <f>2000/5.68</f>
        <v>352.11267605633805</v>
      </c>
      <c r="D166" s="45"/>
      <c r="E166" s="40"/>
      <c r="F166" s="55"/>
      <c r="G166" s="55"/>
      <c r="H166" s="40"/>
      <c r="I166" s="45"/>
      <c r="J166" s="45"/>
      <c r="K166" s="45"/>
    </row>
    <row r="167" spans="2:11" ht="16.5" x14ac:dyDescent="0.3">
      <c r="B167" s="190" t="s">
        <v>139</v>
      </c>
      <c r="C167" s="181">
        <f>17150/5.68</f>
        <v>3019.3661971830988</v>
      </c>
      <c r="D167" s="45"/>
      <c r="E167" s="40"/>
      <c r="F167" s="55"/>
      <c r="G167" s="55"/>
      <c r="H167" s="40"/>
      <c r="I167" s="45"/>
      <c r="J167" s="45"/>
      <c r="K167" s="45"/>
    </row>
    <row r="168" spans="2:11" ht="16.5" x14ac:dyDescent="0.3">
      <c r="B168" s="190" t="s">
        <v>87</v>
      </c>
      <c r="C168" s="181">
        <f>928.2/5.68</f>
        <v>163.41549295774649</v>
      </c>
      <c r="D168" s="45"/>
      <c r="E168" s="40"/>
      <c r="F168" s="55"/>
      <c r="G168" s="55"/>
      <c r="H168" s="40"/>
      <c r="I168" s="45"/>
      <c r="J168" s="45"/>
      <c r="K168" s="45"/>
    </row>
    <row r="169" spans="2:11" ht="16.5" x14ac:dyDescent="0.3">
      <c r="B169" s="190" t="s">
        <v>142</v>
      </c>
      <c r="C169" s="181">
        <f>1983.33/5.68</f>
        <v>349.17781690140845</v>
      </c>
      <c r="D169" s="45"/>
      <c r="E169" s="40"/>
      <c r="F169" s="55"/>
      <c r="G169" s="55"/>
      <c r="H169" s="40"/>
      <c r="I169" s="45"/>
      <c r="J169" s="45"/>
      <c r="K169" s="45"/>
    </row>
    <row r="170" spans="2:11" ht="16.5" x14ac:dyDescent="0.3">
      <c r="B170" s="190" t="s">
        <v>145</v>
      </c>
      <c r="C170" s="181">
        <f>6175.5/5.68</f>
        <v>1087.2359154929577</v>
      </c>
      <c r="D170" s="45"/>
      <c r="E170" s="40"/>
      <c r="F170" s="55"/>
      <c r="G170" s="55"/>
      <c r="H170" s="40"/>
      <c r="I170" s="45"/>
      <c r="J170" s="45"/>
      <c r="K170" s="45"/>
    </row>
    <row r="171" spans="2:11" ht="16.5" x14ac:dyDescent="0.3">
      <c r="B171" s="190" t="s">
        <v>145</v>
      </c>
      <c r="C171" s="181">
        <f>697.86/5.68</f>
        <v>122.86267605633803</v>
      </c>
      <c r="D171" s="45"/>
      <c r="E171" s="40"/>
      <c r="F171" s="55"/>
      <c r="G171" s="55"/>
      <c r="H171" s="40"/>
      <c r="I171" s="45"/>
      <c r="J171" s="45"/>
      <c r="K171" s="45"/>
    </row>
    <row r="172" spans="2:11" ht="16.5" x14ac:dyDescent="0.3">
      <c r="B172" s="190" t="s">
        <v>146</v>
      </c>
      <c r="C172" s="181">
        <f>1999.28/5.68</f>
        <v>351.98591549295776</v>
      </c>
      <c r="D172" s="45"/>
      <c r="E172" s="40"/>
      <c r="F172" s="55"/>
      <c r="G172" s="55"/>
      <c r="H172" s="40"/>
      <c r="I172" s="45"/>
      <c r="J172" s="45"/>
      <c r="K172" s="45"/>
    </row>
    <row r="173" spans="2:11" ht="16.5" x14ac:dyDescent="0.3">
      <c r="B173" s="190" t="s">
        <v>147</v>
      </c>
      <c r="C173" s="181">
        <f>1055.96/5.68</f>
        <v>185.90845070422537</v>
      </c>
      <c r="D173" s="45"/>
      <c r="E173" s="40"/>
      <c r="F173" s="55"/>
      <c r="G173" s="55"/>
      <c r="H173" s="40"/>
      <c r="I173" s="45"/>
      <c r="J173" s="45"/>
      <c r="K173" s="45"/>
    </row>
    <row r="174" spans="2:11" ht="16.5" x14ac:dyDescent="0.3">
      <c r="B174" s="190" t="s">
        <v>145</v>
      </c>
      <c r="C174" s="181">
        <f>1457.19/5.68</f>
        <v>256.54753521126764</v>
      </c>
      <c r="D174" s="45"/>
      <c r="E174" s="40"/>
      <c r="F174" s="55"/>
      <c r="G174" s="55"/>
      <c r="H174" s="40"/>
      <c r="I174" s="45"/>
      <c r="J174" s="45"/>
      <c r="K174" s="45"/>
    </row>
    <row r="175" spans="2:11" ht="16.5" x14ac:dyDescent="0.3">
      <c r="B175" s="191" t="s">
        <v>149</v>
      </c>
      <c r="C175" s="181">
        <v>3302</v>
      </c>
      <c r="D175" s="45"/>
      <c r="E175" s="40"/>
      <c r="F175" s="55"/>
      <c r="G175" s="55"/>
      <c r="H175" s="40"/>
      <c r="I175" s="45"/>
      <c r="J175" s="45"/>
      <c r="K175" s="45"/>
    </row>
    <row r="176" spans="2:11" ht="16.5" x14ac:dyDescent="0.3">
      <c r="B176" s="191" t="s">
        <v>149</v>
      </c>
      <c r="C176" s="181">
        <v>2794</v>
      </c>
      <c r="D176" s="45"/>
      <c r="E176" s="40"/>
      <c r="F176" s="55"/>
      <c r="G176" s="55"/>
      <c r="H176" s="40"/>
      <c r="I176" s="45"/>
      <c r="J176" s="45"/>
      <c r="K176" s="45"/>
    </row>
    <row r="177" spans="2:11" ht="16.5" x14ac:dyDescent="0.3">
      <c r="B177" s="191" t="s">
        <v>149</v>
      </c>
      <c r="C177" s="181">
        <v>3302</v>
      </c>
      <c r="D177" s="45"/>
      <c r="E177" s="40"/>
      <c r="F177" s="55"/>
      <c r="G177" s="55"/>
      <c r="H177" s="40"/>
      <c r="I177" s="45"/>
      <c r="J177" s="45"/>
      <c r="K177" s="45"/>
    </row>
    <row r="178" spans="2:11" ht="16.5" x14ac:dyDescent="0.3">
      <c r="B178" s="191" t="s">
        <v>149</v>
      </c>
      <c r="C178" s="181">
        <v>3302</v>
      </c>
      <c r="D178" s="45"/>
      <c r="E178" s="40"/>
      <c r="F178" s="55"/>
      <c r="G178" s="55"/>
      <c r="H178" s="40"/>
      <c r="I178" s="45"/>
      <c r="J178" s="45"/>
      <c r="K178" s="45"/>
    </row>
    <row r="179" spans="2:11" ht="16.5" x14ac:dyDescent="0.3">
      <c r="B179" s="191" t="s">
        <v>149</v>
      </c>
      <c r="C179" s="181">
        <v>3302</v>
      </c>
      <c r="D179" s="45"/>
      <c r="E179" s="40"/>
      <c r="F179" s="55"/>
      <c r="G179" s="55"/>
      <c r="H179" s="40"/>
      <c r="I179" s="45"/>
      <c r="J179" s="45"/>
      <c r="K179" s="45"/>
    </row>
    <row r="180" spans="2:11" ht="16.5" x14ac:dyDescent="0.3">
      <c r="B180" s="191" t="s">
        <v>149</v>
      </c>
      <c r="C180" s="181">
        <v>1150</v>
      </c>
      <c r="D180" s="45"/>
      <c r="E180" s="40"/>
      <c r="F180" s="55"/>
      <c r="G180" s="55"/>
      <c r="H180" s="40"/>
      <c r="I180" s="45"/>
      <c r="J180" s="45"/>
      <c r="K180" s="45"/>
    </row>
    <row r="181" spans="2:11" ht="16.5" x14ac:dyDescent="0.3">
      <c r="B181" s="191" t="s">
        <v>151</v>
      </c>
      <c r="C181" s="181">
        <f>15+27.81+45</f>
        <v>87.81</v>
      </c>
      <c r="D181" s="45"/>
      <c r="E181" s="40"/>
      <c r="F181" s="55"/>
      <c r="G181" s="55"/>
      <c r="H181" s="40"/>
      <c r="I181" s="45"/>
      <c r="J181" s="45"/>
      <c r="K181" s="45"/>
    </row>
    <row r="182" spans="2:11" ht="16.5" x14ac:dyDescent="0.3">
      <c r="B182" s="191" t="s">
        <v>152</v>
      </c>
      <c r="C182" s="181">
        <v>100</v>
      </c>
      <c r="D182" s="45"/>
      <c r="E182" s="40"/>
      <c r="F182" s="55"/>
      <c r="G182" s="55"/>
      <c r="H182" s="40"/>
      <c r="I182" s="45"/>
      <c r="J182" s="45"/>
      <c r="K182" s="45"/>
    </row>
    <row r="183" spans="2:11" x14ac:dyDescent="0.2">
      <c r="B183" s="58" t="s">
        <v>157</v>
      </c>
      <c r="C183" s="58">
        <f>210/5.68</f>
        <v>36.971830985915496</v>
      </c>
      <c r="D183" s="45"/>
      <c r="E183" s="40"/>
      <c r="F183" s="55"/>
      <c r="G183" s="55"/>
      <c r="H183" s="40"/>
      <c r="I183" s="45"/>
      <c r="J183" s="45"/>
      <c r="K183" s="45"/>
    </row>
    <row r="184" spans="2:11" x14ac:dyDescent="0.2">
      <c r="B184" s="27" t="s">
        <v>158</v>
      </c>
      <c r="C184" s="58">
        <f>210/5.68</f>
        <v>36.971830985915496</v>
      </c>
      <c r="D184" s="45"/>
      <c r="E184" s="40"/>
      <c r="F184" s="55"/>
      <c r="G184" s="55"/>
      <c r="H184" s="40"/>
      <c r="I184" s="45"/>
      <c r="J184" s="45"/>
      <c r="K184" s="45"/>
    </row>
    <row r="185" spans="2:11" x14ac:dyDescent="0.2">
      <c r="B185" s="27" t="s">
        <v>161</v>
      </c>
      <c r="C185" s="58">
        <f>4848/5.68</f>
        <v>853.52112676056345</v>
      </c>
      <c r="D185" s="45"/>
      <c r="E185" s="40"/>
      <c r="F185" s="55"/>
      <c r="G185" s="55"/>
      <c r="H185" s="40"/>
      <c r="I185" s="45"/>
      <c r="J185" s="45"/>
      <c r="K185" s="45"/>
    </row>
    <row r="186" spans="2:11" x14ac:dyDescent="0.2">
      <c r="B186" s="27" t="s">
        <v>162</v>
      </c>
      <c r="C186" s="58">
        <f>144/5.68</f>
        <v>25.35211267605634</v>
      </c>
      <c r="D186" s="45"/>
      <c r="E186" s="40"/>
      <c r="F186" s="55"/>
      <c r="G186" s="55"/>
      <c r="H186" s="40"/>
      <c r="I186" s="45"/>
      <c r="J186" s="45"/>
      <c r="K186" s="45"/>
    </row>
    <row r="187" spans="2:11" x14ac:dyDescent="0.2">
      <c r="B187" s="27" t="s">
        <v>164</v>
      </c>
      <c r="C187" s="58">
        <f>5757/5.68</f>
        <v>1013.5563380281691</v>
      </c>
      <c r="D187" s="45"/>
      <c r="E187" s="40"/>
      <c r="F187" s="55"/>
      <c r="G187" s="55"/>
      <c r="H187" s="40"/>
      <c r="I187" s="45"/>
      <c r="J187" s="45"/>
      <c r="K187" s="45"/>
    </row>
    <row r="188" spans="2:11" x14ac:dyDescent="0.2">
      <c r="B188" s="27" t="s">
        <v>165</v>
      </c>
      <c r="C188" s="58">
        <f>171/5.68</f>
        <v>30.105633802816904</v>
      </c>
      <c r="D188" s="45"/>
      <c r="E188" s="40"/>
      <c r="F188" s="55"/>
      <c r="G188" s="55"/>
      <c r="H188" s="40"/>
      <c r="I188" s="45"/>
      <c r="J188" s="45"/>
      <c r="K188" s="45"/>
    </row>
    <row r="189" spans="2:11" x14ac:dyDescent="0.2">
      <c r="B189" s="27" t="s">
        <v>166</v>
      </c>
      <c r="C189" s="58">
        <f>1282.38/5.68</f>
        <v>225.77112676056342</v>
      </c>
      <c r="D189" s="45"/>
      <c r="E189" s="40"/>
      <c r="F189" s="55"/>
      <c r="G189" s="55"/>
      <c r="H189" s="40"/>
      <c r="I189" s="45"/>
      <c r="J189" s="45"/>
      <c r="K189" s="45"/>
    </row>
    <row r="190" spans="2:11" x14ac:dyDescent="0.2">
      <c r="B190" s="27" t="s">
        <v>167</v>
      </c>
      <c r="C190" s="58">
        <f>27.27/5.68</f>
        <v>4.801056338028169</v>
      </c>
      <c r="D190" s="45"/>
      <c r="E190" s="40"/>
      <c r="F190" s="55"/>
      <c r="G190" s="55"/>
      <c r="H190" s="40"/>
      <c r="I190" s="45"/>
      <c r="J190" s="45"/>
      <c r="K190" s="45"/>
    </row>
    <row r="191" spans="2:11" x14ac:dyDescent="0.2">
      <c r="B191" s="27" t="s">
        <v>170</v>
      </c>
      <c r="C191" s="58">
        <f>350/5.68</f>
        <v>61.619718309859159</v>
      </c>
      <c r="D191" s="45"/>
      <c r="E191" s="40"/>
      <c r="F191" s="55"/>
      <c r="G191" s="55"/>
      <c r="H191" s="40"/>
      <c r="I191" s="45"/>
      <c r="J191" s="45"/>
      <c r="K191" s="45"/>
    </row>
    <row r="192" spans="2:11" x14ac:dyDescent="0.2">
      <c r="B192" s="27" t="s">
        <v>171</v>
      </c>
      <c r="C192" s="58">
        <f>14939.05/5.68</f>
        <v>2630.1144366197182</v>
      </c>
      <c r="D192" s="45"/>
      <c r="E192" s="40"/>
      <c r="F192" s="55"/>
      <c r="G192" s="55"/>
      <c r="H192" s="40"/>
      <c r="I192" s="45"/>
      <c r="J192" s="45"/>
      <c r="K192" s="45"/>
    </row>
    <row r="193" spans="2:11" x14ac:dyDescent="0.2">
      <c r="B193" s="27" t="s">
        <v>172</v>
      </c>
      <c r="C193" s="58">
        <f>883.91/5.68</f>
        <v>155.61795774647888</v>
      </c>
      <c r="D193" s="45"/>
      <c r="E193" s="40"/>
      <c r="F193" s="55"/>
      <c r="G193" s="55"/>
      <c r="H193" s="40"/>
      <c r="I193" s="45"/>
      <c r="J193" s="45"/>
      <c r="K193" s="45"/>
    </row>
    <row r="194" spans="2:11" x14ac:dyDescent="0.2">
      <c r="B194" s="27" t="s">
        <v>174</v>
      </c>
      <c r="C194" s="58">
        <f>5700.3/5.68</f>
        <v>1003.573943661972</v>
      </c>
      <c r="D194" s="45"/>
      <c r="E194" s="40"/>
      <c r="F194" s="55"/>
      <c r="G194" s="55"/>
      <c r="H194" s="40"/>
      <c r="I194" s="45"/>
      <c r="J194" s="45"/>
      <c r="K194" s="45"/>
    </row>
    <row r="195" spans="2:11" x14ac:dyDescent="0.2">
      <c r="B195" s="27" t="s">
        <v>174</v>
      </c>
      <c r="C195" s="58">
        <f>316.67/5.68</f>
        <v>55.751760563380287</v>
      </c>
      <c r="D195" s="45"/>
      <c r="E195" s="40"/>
      <c r="F195" s="55"/>
      <c r="G195" s="55"/>
      <c r="H195" s="40"/>
      <c r="I195" s="45"/>
      <c r="J195" s="45"/>
      <c r="K195" s="45"/>
    </row>
    <row r="196" spans="2:11" x14ac:dyDescent="0.2">
      <c r="B196" s="27" t="s">
        <v>174</v>
      </c>
      <c r="C196" s="58">
        <f>1935.13/5.68</f>
        <v>340.69190140845075</v>
      </c>
      <c r="D196" s="45"/>
      <c r="E196" s="40"/>
      <c r="F196" s="55"/>
      <c r="G196" s="55"/>
      <c r="H196" s="40"/>
      <c r="I196" s="45"/>
      <c r="J196" s="45"/>
      <c r="K196" s="45"/>
    </row>
    <row r="197" spans="2:11" x14ac:dyDescent="0.2">
      <c r="B197" s="27" t="s">
        <v>174</v>
      </c>
      <c r="C197" s="58">
        <f>1055.99/5.68</f>
        <v>185.91373239436621</v>
      </c>
      <c r="D197" s="45"/>
      <c r="E197" s="40"/>
      <c r="F197" s="55"/>
      <c r="G197" s="55"/>
      <c r="H197" s="40"/>
      <c r="I197" s="45"/>
      <c r="J197" s="45"/>
      <c r="K197" s="45"/>
    </row>
    <row r="198" spans="2:11" x14ac:dyDescent="0.2">
      <c r="B198" s="27" t="s">
        <v>174</v>
      </c>
      <c r="C198" s="58">
        <f>613/5.68</f>
        <v>107.92253521126761</v>
      </c>
      <c r="D198" s="45"/>
      <c r="E198" s="40"/>
      <c r="F198" s="55"/>
      <c r="G198" s="55"/>
      <c r="H198" s="40"/>
      <c r="I198" s="45"/>
      <c r="J198" s="45"/>
      <c r="K198" s="45"/>
    </row>
    <row r="199" spans="2:11" x14ac:dyDescent="0.2">
      <c r="B199" s="27" t="s">
        <v>174</v>
      </c>
      <c r="C199" s="58">
        <f>1457.19/5.68</f>
        <v>256.54753521126764</v>
      </c>
      <c r="D199" s="45"/>
      <c r="E199" s="40"/>
      <c r="F199" s="55"/>
      <c r="G199" s="55"/>
      <c r="H199" s="40"/>
      <c r="I199" s="45"/>
      <c r="J199" s="45"/>
      <c r="K199" s="45"/>
    </row>
    <row r="200" spans="2:11" x14ac:dyDescent="0.2">
      <c r="B200" s="27" t="s">
        <v>175</v>
      </c>
      <c r="C200" s="58">
        <f>1858.26/5.68</f>
        <v>327.15845070422534</v>
      </c>
      <c r="D200" s="45"/>
      <c r="E200" s="40"/>
      <c r="F200" s="55"/>
      <c r="G200" s="55"/>
      <c r="H200" s="40"/>
      <c r="I200" s="45"/>
      <c r="J200" s="45"/>
      <c r="K200" s="45"/>
    </row>
    <row r="201" spans="2:11" x14ac:dyDescent="0.2">
      <c r="B201" s="27" t="s">
        <v>176</v>
      </c>
      <c r="C201" s="58">
        <f>400/5.68</f>
        <v>70.422535211267615</v>
      </c>
      <c r="D201" s="45"/>
      <c r="E201" s="40"/>
      <c r="F201" s="55"/>
      <c r="G201" s="55"/>
      <c r="H201" s="40"/>
      <c r="I201" s="45"/>
      <c r="J201" s="45"/>
      <c r="K201" s="45"/>
    </row>
    <row r="202" spans="2:11" x14ac:dyDescent="0.2">
      <c r="B202" s="27" t="s">
        <v>177</v>
      </c>
      <c r="C202" s="58">
        <f>566.67/5.68</f>
        <v>99.765845070422529</v>
      </c>
      <c r="D202" s="45"/>
      <c r="E202" s="40"/>
      <c r="F202" s="55"/>
      <c r="G202" s="55"/>
      <c r="H202" s="40"/>
      <c r="I202" s="45"/>
      <c r="J202" s="45"/>
      <c r="K202" s="45"/>
    </row>
    <row r="203" spans="2:11" x14ac:dyDescent="0.2">
      <c r="B203" s="27" t="s">
        <v>178</v>
      </c>
      <c r="C203" s="58">
        <f>420/5.68</f>
        <v>73.943661971830991</v>
      </c>
      <c r="D203" s="45"/>
      <c r="E203" s="40"/>
      <c r="F203" s="55"/>
      <c r="G203" s="55"/>
      <c r="H203" s="40"/>
      <c r="I203" s="45"/>
      <c r="J203" s="45"/>
      <c r="K203" s="45"/>
    </row>
    <row r="204" spans="2:11" x14ac:dyDescent="0.2">
      <c r="B204" s="27" t="s">
        <v>179</v>
      </c>
      <c r="C204" s="58">
        <f>1748.54/5.68</f>
        <v>307.84154929577466</v>
      </c>
      <c r="D204" s="45"/>
      <c r="E204" s="40"/>
      <c r="F204" s="55"/>
      <c r="G204" s="55"/>
      <c r="H204" s="40"/>
      <c r="I204" s="45"/>
      <c r="J204" s="45"/>
      <c r="K204" s="45"/>
    </row>
    <row r="205" spans="2:11" x14ac:dyDescent="0.2">
      <c r="B205" s="27" t="s">
        <v>180</v>
      </c>
      <c r="C205" s="58">
        <f>1550/5.68</f>
        <v>272.88732394366201</v>
      </c>
      <c r="D205" s="45"/>
      <c r="E205" s="40"/>
      <c r="F205" s="55"/>
      <c r="G205" s="55"/>
      <c r="H205" s="40"/>
      <c r="I205" s="45"/>
      <c r="J205" s="45"/>
      <c r="K205" s="45"/>
    </row>
    <row r="206" spans="2:11" x14ac:dyDescent="0.2">
      <c r="B206" s="27" t="s">
        <v>180</v>
      </c>
      <c r="C206" s="58">
        <f>1750/5.68</f>
        <v>308.0985915492958</v>
      </c>
      <c r="D206" s="45"/>
      <c r="E206" s="40"/>
      <c r="F206" s="55"/>
      <c r="G206" s="55"/>
      <c r="H206" s="40"/>
      <c r="I206" s="45"/>
      <c r="J206" s="45"/>
      <c r="K206" s="45"/>
    </row>
    <row r="207" spans="2:11" x14ac:dyDescent="0.2">
      <c r="B207" s="27" t="s">
        <v>180</v>
      </c>
      <c r="C207" s="58">
        <f>1750/5.68</f>
        <v>308.0985915492958</v>
      </c>
      <c r="D207" s="45"/>
      <c r="E207" s="40"/>
      <c r="F207" s="55"/>
      <c r="G207" s="55"/>
      <c r="H207" s="40"/>
      <c r="I207" s="45"/>
      <c r="J207" s="45"/>
      <c r="K207" s="45"/>
    </row>
    <row r="208" spans="2:11" x14ac:dyDescent="0.2">
      <c r="B208" s="27" t="s">
        <v>177</v>
      </c>
      <c r="C208" s="58">
        <f>426.67/5.68</f>
        <v>75.117957746478879</v>
      </c>
      <c r="D208" s="45"/>
      <c r="E208" s="40"/>
      <c r="F208" s="55"/>
      <c r="G208" s="55"/>
      <c r="H208" s="40"/>
      <c r="I208" s="45"/>
      <c r="J208" s="45"/>
      <c r="K208" s="45"/>
    </row>
    <row r="209" spans="2:11" x14ac:dyDescent="0.2">
      <c r="B209" s="27" t="s">
        <v>181</v>
      </c>
      <c r="C209" s="58">
        <f>1250/5.68</f>
        <v>220.07042253521129</v>
      </c>
      <c r="D209" s="45"/>
      <c r="E209" s="40"/>
      <c r="F209" s="55"/>
      <c r="G209" s="55"/>
      <c r="H209" s="40"/>
      <c r="I209" s="45"/>
      <c r="J209" s="45"/>
      <c r="K209" s="45"/>
    </row>
    <row r="210" spans="2:11" x14ac:dyDescent="0.2">
      <c r="B210" s="27" t="s">
        <v>182</v>
      </c>
      <c r="C210" s="58">
        <f>840/5.68</f>
        <v>147.88732394366198</v>
      </c>
      <c r="D210" s="45"/>
      <c r="E210" s="40"/>
      <c r="F210" s="55"/>
      <c r="G210" s="55"/>
      <c r="H210" s="40"/>
      <c r="I210" s="45"/>
      <c r="J210" s="45"/>
      <c r="K210" s="45"/>
    </row>
    <row r="211" spans="2:11" x14ac:dyDescent="0.2">
      <c r="B211" s="27" t="s">
        <v>177</v>
      </c>
      <c r="C211" s="58">
        <f>826.67/5.68</f>
        <v>145.54049295774647</v>
      </c>
      <c r="D211" s="45"/>
      <c r="E211" s="40"/>
      <c r="F211" s="55"/>
      <c r="G211" s="55"/>
      <c r="H211" s="40"/>
      <c r="I211" s="45"/>
      <c r="J211" s="45"/>
      <c r="K211" s="45"/>
    </row>
    <row r="212" spans="2:11" x14ac:dyDescent="0.2">
      <c r="B212" s="27" t="s">
        <v>177</v>
      </c>
      <c r="C212" s="58">
        <f>1133.33/5.68</f>
        <v>199.5299295774648</v>
      </c>
      <c r="D212" s="45"/>
      <c r="E212" s="40"/>
      <c r="F212" s="55"/>
      <c r="G212" s="55"/>
      <c r="H212" s="40"/>
      <c r="I212" s="45"/>
      <c r="J212" s="45"/>
      <c r="K212" s="45"/>
    </row>
    <row r="213" spans="2:11" x14ac:dyDescent="0.2">
      <c r="B213" s="27" t="s">
        <v>183</v>
      </c>
      <c r="C213" s="58">
        <f>5520/5.68</f>
        <v>971.83098591549299</v>
      </c>
      <c r="D213" s="45"/>
      <c r="E213" s="40"/>
      <c r="F213" s="55"/>
      <c r="G213" s="55"/>
      <c r="H213" s="40"/>
      <c r="I213" s="45"/>
      <c r="J213" s="45"/>
      <c r="K213" s="45"/>
    </row>
    <row r="214" spans="2:11" x14ac:dyDescent="0.2">
      <c r="B214" s="27" t="s">
        <v>184</v>
      </c>
      <c r="C214" s="58">
        <f>2000/5.68</f>
        <v>352.11267605633805</v>
      </c>
      <c r="D214" s="45"/>
      <c r="E214" s="40"/>
      <c r="F214" s="55"/>
      <c r="G214" s="55"/>
      <c r="H214" s="40"/>
      <c r="I214" s="45"/>
      <c r="J214" s="45"/>
      <c r="K214" s="45"/>
    </row>
    <row r="215" spans="2:11" x14ac:dyDescent="0.2">
      <c r="B215" s="27" t="s">
        <v>185</v>
      </c>
      <c r="C215" s="58">
        <f>420/5.68</f>
        <v>73.943661971830991</v>
      </c>
      <c r="D215" s="45"/>
      <c r="E215" s="40"/>
      <c r="F215" s="55"/>
      <c r="G215" s="55"/>
      <c r="H215" s="40"/>
      <c r="I215" s="45"/>
      <c r="J215" s="45"/>
      <c r="K215" s="45"/>
    </row>
    <row r="216" spans="2:11" x14ac:dyDescent="0.2">
      <c r="B216" s="27" t="s">
        <v>177</v>
      </c>
      <c r="C216" s="58">
        <f>3933.33/5.68</f>
        <v>692.48767605633805</v>
      </c>
      <c r="D216" s="45"/>
      <c r="E216" s="40"/>
      <c r="F216" s="55"/>
      <c r="G216" s="55"/>
      <c r="H216" s="40"/>
      <c r="I216" s="45"/>
      <c r="J216" s="45"/>
      <c r="K216" s="45"/>
    </row>
    <row r="217" spans="2:11" x14ac:dyDescent="0.2">
      <c r="B217" s="27" t="s">
        <v>177</v>
      </c>
      <c r="C217" s="58">
        <f>933.33/5.68</f>
        <v>164.31866197183101</v>
      </c>
      <c r="D217" s="45"/>
      <c r="E217" s="40"/>
      <c r="F217" s="55"/>
      <c r="G217" s="55"/>
      <c r="H217" s="40"/>
      <c r="I217" s="45"/>
      <c r="J217" s="45"/>
      <c r="K217" s="45"/>
    </row>
    <row r="218" spans="2:11" x14ac:dyDescent="0.2">
      <c r="B218" s="27" t="s">
        <v>177</v>
      </c>
      <c r="C218" s="58">
        <f>1133.33/5.68</f>
        <v>199.5299295774648</v>
      </c>
      <c r="D218" s="45"/>
      <c r="E218" s="40"/>
      <c r="F218" s="55"/>
      <c r="G218" s="55"/>
      <c r="H218" s="40"/>
      <c r="I218" s="45"/>
      <c r="J218" s="45"/>
      <c r="K218" s="45"/>
    </row>
    <row r="219" spans="2:11" x14ac:dyDescent="0.2">
      <c r="B219" s="27" t="s">
        <v>177</v>
      </c>
      <c r="C219" s="58">
        <f>1306.67/5.68</f>
        <v>230.04753521126764</v>
      </c>
      <c r="D219" s="45"/>
      <c r="E219" s="40"/>
      <c r="F219" s="55"/>
      <c r="G219" s="55"/>
      <c r="H219" s="40"/>
      <c r="I219" s="45"/>
      <c r="J219" s="45"/>
      <c r="K219" s="45"/>
    </row>
    <row r="220" spans="2:11" x14ac:dyDescent="0.2">
      <c r="B220" s="27" t="s">
        <v>177</v>
      </c>
      <c r="C220" s="58">
        <f>853.33/5.68</f>
        <v>150.23415492957747</v>
      </c>
      <c r="D220" s="45"/>
      <c r="E220" s="40"/>
      <c r="F220" s="55"/>
      <c r="G220" s="55"/>
      <c r="H220" s="40"/>
      <c r="I220" s="45"/>
      <c r="J220" s="45"/>
      <c r="K220" s="45"/>
    </row>
    <row r="221" spans="2:11" x14ac:dyDescent="0.2">
      <c r="B221" s="27" t="s">
        <v>177</v>
      </c>
      <c r="C221" s="58">
        <f>827/5.68</f>
        <v>145.59859154929578</v>
      </c>
      <c r="D221" s="45"/>
      <c r="E221" s="40"/>
      <c r="F221" s="55"/>
      <c r="G221" s="55"/>
      <c r="H221" s="40"/>
      <c r="I221" s="45"/>
      <c r="J221" s="45"/>
      <c r="K221" s="45"/>
    </row>
    <row r="222" spans="2:11" x14ac:dyDescent="0.2">
      <c r="B222" s="27" t="s">
        <v>177</v>
      </c>
      <c r="C222" s="58">
        <f>1133.33/5.68</f>
        <v>199.5299295774648</v>
      </c>
      <c r="D222" s="45"/>
      <c r="E222" s="40"/>
      <c r="F222" s="55"/>
      <c r="G222" s="55"/>
      <c r="H222" s="40"/>
      <c r="I222" s="45"/>
      <c r="J222" s="45"/>
      <c r="K222" s="45"/>
    </row>
    <row r="223" spans="2:11" x14ac:dyDescent="0.2">
      <c r="B223" s="58" t="s">
        <v>247</v>
      </c>
      <c r="C223" s="58">
        <f>28138.5/5.68</f>
        <v>4953.961267605634</v>
      </c>
      <c r="D223" s="45"/>
      <c r="E223" s="40"/>
      <c r="F223" s="55"/>
      <c r="G223" s="55"/>
      <c r="H223" s="40"/>
      <c r="I223" s="45"/>
      <c r="J223" s="45"/>
      <c r="K223" s="45"/>
    </row>
    <row r="224" spans="2:11" x14ac:dyDescent="0.2">
      <c r="B224" s="27" t="s">
        <v>186</v>
      </c>
      <c r="C224" s="58">
        <f>50/5.68</f>
        <v>8.8028169014084519</v>
      </c>
      <c r="D224" s="45"/>
      <c r="E224" s="40"/>
      <c r="F224" s="55"/>
      <c r="G224" s="55"/>
      <c r="H224" s="40"/>
      <c r="I224" s="45"/>
      <c r="J224" s="45"/>
      <c r="K224" s="45"/>
    </row>
    <row r="225" spans="2:11" x14ac:dyDescent="0.2">
      <c r="B225" s="27" t="s">
        <v>187</v>
      </c>
      <c r="C225" s="58">
        <f>116.31/5.68</f>
        <v>20.47711267605634</v>
      </c>
      <c r="D225" s="45"/>
      <c r="E225" s="40"/>
      <c r="F225" s="55"/>
      <c r="G225" s="55"/>
      <c r="H225" s="40"/>
      <c r="I225" s="45"/>
      <c r="J225" s="45"/>
      <c r="K225" s="45"/>
    </row>
    <row r="226" spans="2:11" x14ac:dyDescent="0.2">
      <c r="B226" s="27" t="s">
        <v>87</v>
      </c>
      <c r="C226" s="58">
        <f>917.42/5.68</f>
        <v>161.51760563380282</v>
      </c>
      <c r="D226" s="45"/>
      <c r="E226" s="40"/>
      <c r="F226" s="55"/>
      <c r="G226" s="55"/>
      <c r="H226" s="40"/>
      <c r="I226" s="45"/>
      <c r="J226" s="45"/>
      <c r="K226" s="45"/>
    </row>
    <row r="227" spans="2:11" x14ac:dyDescent="0.2">
      <c r="B227" s="27" t="s">
        <v>188</v>
      </c>
      <c r="C227" s="58">
        <f>930/5.68</f>
        <v>163.73239436619718</v>
      </c>
      <c r="D227" s="45"/>
      <c r="E227" s="40"/>
      <c r="F227" s="55"/>
      <c r="G227" s="55"/>
      <c r="H227" s="40"/>
      <c r="I227" s="45"/>
      <c r="J227" s="45"/>
      <c r="K227" s="45"/>
    </row>
    <row r="228" spans="2:11" x14ac:dyDescent="0.2">
      <c r="B228" s="27" t="s">
        <v>188</v>
      </c>
      <c r="C228" s="58">
        <f>960/5.68</f>
        <v>169.01408450704227</v>
      </c>
      <c r="D228" s="45"/>
      <c r="E228" s="40"/>
      <c r="F228" s="55"/>
      <c r="G228" s="55"/>
      <c r="H228" s="40"/>
      <c r="I228" s="45"/>
      <c r="J228" s="45"/>
      <c r="K228" s="45"/>
    </row>
    <row r="229" spans="2:11" x14ac:dyDescent="0.2">
      <c r="B229" s="27" t="s">
        <v>188</v>
      </c>
      <c r="C229" s="58">
        <f>930/5.68</f>
        <v>163.73239436619718</v>
      </c>
      <c r="D229" s="45"/>
      <c r="E229" s="40"/>
      <c r="F229" s="55"/>
      <c r="G229" s="55"/>
      <c r="H229" s="40"/>
      <c r="I229" s="45"/>
      <c r="J229" s="45"/>
      <c r="K229" s="45"/>
    </row>
    <row r="230" spans="2:11" x14ac:dyDescent="0.2">
      <c r="B230" s="27" t="s">
        <v>188</v>
      </c>
      <c r="C230" s="58">
        <f>840/5.68</f>
        <v>147.88732394366198</v>
      </c>
      <c r="D230" s="45"/>
      <c r="E230" s="40"/>
      <c r="F230" s="55"/>
      <c r="G230" s="55"/>
      <c r="H230" s="40"/>
      <c r="I230" s="45"/>
      <c r="J230" s="45"/>
      <c r="K230" s="45"/>
    </row>
    <row r="231" spans="2:11" x14ac:dyDescent="0.2">
      <c r="B231" s="27" t="s">
        <v>188</v>
      </c>
      <c r="C231" s="58">
        <f>840/5.68</f>
        <v>147.88732394366198</v>
      </c>
      <c r="D231" s="45"/>
      <c r="E231" s="40"/>
      <c r="F231" s="55"/>
      <c r="G231" s="55"/>
      <c r="H231" s="40"/>
      <c r="I231" s="45"/>
      <c r="J231" s="45"/>
      <c r="K231" s="45"/>
    </row>
    <row r="232" spans="2:11" x14ac:dyDescent="0.2">
      <c r="B232" s="27" t="s">
        <v>188</v>
      </c>
      <c r="C232" s="58">
        <f>840/5.68</f>
        <v>147.88732394366198</v>
      </c>
      <c r="D232" s="45"/>
      <c r="E232" s="40"/>
      <c r="F232" s="55"/>
      <c r="G232" s="55"/>
      <c r="H232" s="40"/>
      <c r="I232" s="45"/>
      <c r="J232" s="45"/>
      <c r="K232" s="45"/>
    </row>
    <row r="233" spans="2:11" x14ac:dyDescent="0.2">
      <c r="B233" s="27" t="s">
        <v>188</v>
      </c>
      <c r="C233" s="58">
        <f>840/5.68</f>
        <v>147.88732394366198</v>
      </c>
      <c r="D233" s="45"/>
      <c r="E233" s="40"/>
      <c r="F233" s="55"/>
      <c r="G233" s="55"/>
      <c r="H233" s="40"/>
      <c r="I233" s="45"/>
      <c r="J233" s="45"/>
      <c r="K233" s="45"/>
    </row>
    <row r="234" spans="2:11" x14ac:dyDescent="0.2">
      <c r="B234" s="27" t="s">
        <v>188</v>
      </c>
      <c r="C234" s="58">
        <f>930/5.68</f>
        <v>163.73239436619718</v>
      </c>
      <c r="D234" s="45"/>
      <c r="E234" s="40"/>
      <c r="F234" s="55"/>
      <c r="G234" s="55"/>
      <c r="H234" s="40"/>
      <c r="I234" s="45"/>
      <c r="J234" s="45"/>
      <c r="K234" s="45"/>
    </row>
    <row r="235" spans="2:11" x14ac:dyDescent="0.2">
      <c r="B235" s="27" t="s">
        <v>188</v>
      </c>
      <c r="C235" s="58">
        <f>840/5.68</f>
        <v>147.88732394366198</v>
      </c>
      <c r="D235" s="45"/>
      <c r="E235" s="40"/>
      <c r="F235" s="55"/>
      <c r="G235" s="55"/>
      <c r="H235" s="40"/>
      <c r="I235" s="45"/>
      <c r="J235" s="45"/>
      <c r="K235" s="45"/>
    </row>
    <row r="236" spans="2:11" x14ac:dyDescent="0.2">
      <c r="B236" s="27" t="s">
        <v>188</v>
      </c>
      <c r="C236" s="58">
        <f>840/5.68</f>
        <v>147.88732394366198</v>
      </c>
      <c r="D236" s="45"/>
      <c r="E236" s="40"/>
      <c r="F236" s="55"/>
      <c r="G236" s="55"/>
      <c r="H236" s="40"/>
      <c r="I236" s="45"/>
      <c r="J236" s="45"/>
      <c r="K236" s="45"/>
    </row>
    <row r="237" spans="2:11" x14ac:dyDescent="0.2">
      <c r="B237" s="27" t="s">
        <v>189</v>
      </c>
      <c r="C237" s="58">
        <f>2000/5.68</f>
        <v>352.11267605633805</v>
      </c>
      <c r="D237" s="45"/>
      <c r="E237" s="40"/>
      <c r="F237" s="55"/>
      <c r="G237" s="55"/>
      <c r="H237" s="40"/>
      <c r="I237" s="45"/>
      <c r="J237" s="45"/>
      <c r="K237" s="45"/>
    </row>
    <row r="238" spans="2:11" x14ac:dyDescent="0.2">
      <c r="B238" s="27" t="s">
        <v>188</v>
      </c>
      <c r="C238" s="58">
        <f>1400/5.68</f>
        <v>246.47887323943664</v>
      </c>
      <c r="D238" s="45"/>
      <c r="E238" s="40"/>
      <c r="F238" s="55"/>
      <c r="G238" s="55"/>
      <c r="H238" s="40"/>
      <c r="I238" s="45"/>
      <c r="J238" s="45"/>
      <c r="K238" s="45"/>
    </row>
    <row r="239" spans="2:11" x14ac:dyDescent="0.2">
      <c r="B239" s="27" t="s">
        <v>190</v>
      </c>
      <c r="C239" s="58">
        <f>1050/5.68</f>
        <v>184.85915492957747</v>
      </c>
      <c r="D239" s="45"/>
      <c r="E239" s="40"/>
      <c r="F239" s="55"/>
      <c r="G239" s="55"/>
      <c r="H239" s="40"/>
      <c r="I239" s="45"/>
      <c r="J239" s="45"/>
      <c r="K239" s="45"/>
    </row>
    <row r="240" spans="2:11" x14ac:dyDescent="0.2">
      <c r="B240" s="27" t="s">
        <v>191</v>
      </c>
      <c r="C240" s="58">
        <f>1400/5.68</f>
        <v>246.47887323943664</v>
      </c>
      <c r="D240" s="45"/>
      <c r="E240" s="40"/>
      <c r="F240" s="55"/>
      <c r="G240" s="55"/>
      <c r="H240" s="40"/>
      <c r="I240" s="45"/>
      <c r="J240" s="45"/>
      <c r="K240" s="45"/>
    </row>
    <row r="241" spans="2:11" x14ac:dyDescent="0.2">
      <c r="B241" s="27" t="s">
        <v>192</v>
      </c>
      <c r="C241" s="58">
        <f>2585.6/5.68</f>
        <v>455.21126760563379</v>
      </c>
      <c r="D241" s="45"/>
      <c r="E241" s="40"/>
      <c r="F241" s="55"/>
      <c r="G241" s="55"/>
      <c r="H241" s="40"/>
      <c r="I241" s="45"/>
      <c r="J241" s="45"/>
      <c r="K241" s="45"/>
    </row>
    <row r="242" spans="2:11" x14ac:dyDescent="0.2">
      <c r="B242" s="27" t="s">
        <v>193</v>
      </c>
      <c r="C242" s="58">
        <f>76.8/5.68</f>
        <v>13.52112676056338</v>
      </c>
      <c r="D242" s="45"/>
      <c r="E242" s="40"/>
      <c r="F242" s="55"/>
      <c r="G242" s="55"/>
      <c r="H242" s="40"/>
      <c r="I242" s="45"/>
      <c r="J242" s="45"/>
      <c r="K242" s="45"/>
    </row>
    <row r="243" spans="2:11" x14ac:dyDescent="0.2">
      <c r="B243" s="27" t="s">
        <v>194</v>
      </c>
      <c r="C243" s="58">
        <f>1749/5.68</f>
        <v>307.92253521126764</v>
      </c>
      <c r="D243" s="45"/>
      <c r="E243" s="40"/>
      <c r="F243" s="55"/>
      <c r="G243" s="55"/>
      <c r="H243" s="40"/>
      <c r="I243" s="45"/>
      <c r="J243" s="45"/>
      <c r="K243" s="45"/>
    </row>
    <row r="244" spans="2:11" x14ac:dyDescent="0.2">
      <c r="B244" s="27" t="s">
        <v>195</v>
      </c>
      <c r="C244" s="58">
        <f>840/5.68</f>
        <v>147.88732394366198</v>
      </c>
      <c r="D244" s="45"/>
      <c r="E244" s="40"/>
      <c r="F244" s="55"/>
      <c r="G244" s="55"/>
      <c r="H244" s="40"/>
      <c r="I244" s="45"/>
      <c r="J244" s="45"/>
      <c r="K244" s="45"/>
    </row>
    <row r="245" spans="2:11" x14ac:dyDescent="0.2">
      <c r="B245" s="27" t="s">
        <v>196</v>
      </c>
      <c r="C245" s="58">
        <f>210/5.68</f>
        <v>36.971830985915496</v>
      </c>
      <c r="D245" s="45"/>
      <c r="E245" s="40"/>
      <c r="F245" s="55"/>
      <c r="G245" s="55"/>
      <c r="H245" s="40"/>
      <c r="I245" s="45"/>
      <c r="J245" s="45"/>
      <c r="K245" s="45"/>
    </row>
    <row r="246" spans="2:11" x14ac:dyDescent="0.2">
      <c r="B246" s="27" t="s">
        <v>195</v>
      </c>
      <c r="C246" s="58">
        <f>840/5.68</f>
        <v>147.88732394366198</v>
      </c>
      <c r="D246" s="45"/>
      <c r="E246" s="40"/>
      <c r="F246" s="55"/>
      <c r="G246" s="55"/>
      <c r="H246" s="40"/>
      <c r="I246" s="45"/>
      <c r="J246" s="45"/>
      <c r="K246" s="45"/>
    </row>
    <row r="247" spans="2:11" x14ac:dyDescent="0.2">
      <c r="B247" s="27" t="s">
        <v>197</v>
      </c>
      <c r="C247" s="58">
        <f>1275/5.68</f>
        <v>224.47183098591552</v>
      </c>
      <c r="D247" s="45"/>
      <c r="E247" s="40"/>
      <c r="F247" s="55"/>
      <c r="G247" s="55"/>
      <c r="H247" s="40"/>
      <c r="I247" s="45"/>
      <c r="J247" s="45"/>
      <c r="K247" s="45"/>
    </row>
    <row r="248" spans="2:11" x14ac:dyDescent="0.2">
      <c r="B248" s="27" t="s">
        <v>198</v>
      </c>
      <c r="C248" s="58">
        <f>3100/5.68</f>
        <v>545.77464788732402</v>
      </c>
      <c r="D248" s="45"/>
      <c r="E248" s="40"/>
      <c r="F248" s="55"/>
      <c r="G248" s="55"/>
      <c r="H248" s="40"/>
      <c r="I248" s="45"/>
      <c r="J248" s="45"/>
      <c r="K248" s="45"/>
    </row>
    <row r="249" spans="2:11" x14ac:dyDescent="0.2">
      <c r="B249" s="27" t="s">
        <v>198</v>
      </c>
      <c r="C249" s="58">
        <f>3500/5.68</f>
        <v>616.19718309859161</v>
      </c>
      <c r="D249" s="45"/>
      <c r="E249" s="40"/>
      <c r="F249" s="55"/>
      <c r="G249" s="55"/>
      <c r="H249" s="40"/>
      <c r="I249" s="45"/>
      <c r="J249" s="45"/>
      <c r="K249" s="45"/>
    </row>
    <row r="250" spans="2:11" x14ac:dyDescent="0.2">
      <c r="B250" s="27" t="s">
        <v>198</v>
      </c>
      <c r="C250" s="58">
        <f>3100/5.68</f>
        <v>545.77464788732402</v>
      </c>
      <c r="D250" s="45"/>
      <c r="E250" s="40"/>
      <c r="F250" s="55"/>
      <c r="G250" s="55"/>
      <c r="H250" s="40"/>
      <c r="I250" s="45"/>
      <c r="J250" s="45"/>
      <c r="K250" s="45"/>
    </row>
    <row r="251" spans="2:11" x14ac:dyDescent="0.2">
      <c r="B251" s="27" t="s">
        <v>199</v>
      </c>
      <c r="C251" s="58">
        <f>1275/5.68</f>
        <v>224.47183098591552</v>
      </c>
      <c r="D251" s="45"/>
      <c r="E251" s="40"/>
      <c r="F251" s="55"/>
      <c r="G251" s="55"/>
      <c r="H251" s="40"/>
      <c r="I251" s="45"/>
      <c r="J251" s="45"/>
      <c r="K251" s="45"/>
    </row>
    <row r="252" spans="2:11" x14ac:dyDescent="0.2">
      <c r="B252" s="27" t="s">
        <v>200</v>
      </c>
      <c r="C252" s="58">
        <f>12372.03/5.68</f>
        <v>2178.1742957746483</v>
      </c>
      <c r="D252" s="45"/>
      <c r="E252" s="40"/>
      <c r="F252" s="55"/>
      <c r="G252" s="55"/>
      <c r="H252" s="40"/>
      <c r="I252" s="45"/>
      <c r="J252" s="45"/>
      <c r="K252" s="45"/>
    </row>
    <row r="253" spans="2:11" x14ac:dyDescent="0.2">
      <c r="B253" s="27" t="s">
        <v>201</v>
      </c>
      <c r="C253" s="58">
        <f>2132.98/5.68</f>
        <v>375.52464788732397</v>
      </c>
      <c r="D253" s="45"/>
      <c r="E253" s="40"/>
      <c r="F253" s="55"/>
      <c r="G253" s="55"/>
      <c r="H253" s="40"/>
      <c r="I253" s="45"/>
      <c r="J253" s="45"/>
      <c r="K253" s="45"/>
    </row>
    <row r="254" spans="2:11" x14ac:dyDescent="0.2">
      <c r="B254" s="27" t="s">
        <v>202</v>
      </c>
      <c r="C254" s="58">
        <f>4417.18/5.68</f>
        <v>777.6725352112677</v>
      </c>
      <c r="D254" s="45"/>
      <c r="E254" s="40"/>
      <c r="F254" s="55"/>
      <c r="G254" s="55"/>
      <c r="H254" s="40"/>
      <c r="I254" s="45"/>
      <c r="J254" s="45"/>
      <c r="K254" s="45"/>
    </row>
    <row r="255" spans="2:11" x14ac:dyDescent="0.2">
      <c r="B255" s="27" t="s">
        <v>203</v>
      </c>
      <c r="C255" s="58">
        <f>122.95/5.68</f>
        <v>21.646126760563384</v>
      </c>
      <c r="D255" s="45"/>
      <c r="E255" s="40"/>
      <c r="F255" s="55"/>
      <c r="G255" s="55"/>
      <c r="H255" s="40"/>
      <c r="I255" s="45"/>
      <c r="J255" s="45"/>
      <c r="K255" s="45"/>
    </row>
    <row r="256" spans="2:11" x14ac:dyDescent="0.2">
      <c r="B256" s="27" t="s">
        <v>204</v>
      </c>
      <c r="C256" s="58">
        <f>1055.96/5.68</f>
        <v>185.90845070422537</v>
      </c>
      <c r="D256" s="45"/>
      <c r="E256" s="40"/>
      <c r="F256" s="55"/>
      <c r="G256" s="55"/>
      <c r="H256" s="40"/>
      <c r="I256" s="45"/>
      <c r="J256" s="45"/>
      <c r="K256" s="45"/>
    </row>
    <row r="257" spans="2:11" x14ac:dyDescent="0.2">
      <c r="B257" s="27" t="s">
        <v>205</v>
      </c>
      <c r="C257" s="58">
        <f>1457.19/5.68</f>
        <v>256.54753521126764</v>
      </c>
      <c r="D257" s="45"/>
      <c r="E257" s="40"/>
      <c r="F257" s="55"/>
      <c r="G257" s="55"/>
      <c r="H257" s="40"/>
      <c r="I257" s="45"/>
      <c r="J257" s="45"/>
      <c r="K257" s="45"/>
    </row>
    <row r="258" spans="2:11" x14ac:dyDescent="0.2">
      <c r="B258" s="27" t="s">
        <v>206</v>
      </c>
      <c r="C258" s="58">
        <f>2400/5.68</f>
        <v>422.53521126760563</v>
      </c>
      <c r="D258" s="45"/>
      <c r="E258" s="40"/>
      <c r="F258" s="55"/>
      <c r="G258" s="55"/>
      <c r="H258" s="40"/>
      <c r="I258" s="45"/>
      <c r="J258" s="45"/>
      <c r="K258" s="45"/>
    </row>
    <row r="259" spans="2:11" x14ac:dyDescent="0.2">
      <c r="B259" s="27" t="s">
        <v>207</v>
      </c>
      <c r="C259" s="58">
        <f>349.44/5.68</f>
        <v>61.521126760563384</v>
      </c>
      <c r="D259" s="45"/>
      <c r="E259" s="40"/>
      <c r="F259" s="55"/>
      <c r="G259" s="55"/>
      <c r="H259" s="40"/>
      <c r="I259" s="45"/>
      <c r="J259" s="45"/>
      <c r="K259" s="45"/>
    </row>
    <row r="260" spans="2:11" x14ac:dyDescent="0.2">
      <c r="B260" s="27" t="s">
        <v>208</v>
      </c>
      <c r="C260" s="58">
        <f>14.56/5.68</f>
        <v>2.563380281690141</v>
      </c>
      <c r="D260" s="45"/>
      <c r="E260" s="40"/>
      <c r="F260" s="55"/>
      <c r="G260" s="55"/>
      <c r="H260" s="40"/>
      <c r="I260" s="45"/>
      <c r="J260" s="45"/>
      <c r="K260" s="45"/>
    </row>
    <row r="261" spans="2:11" x14ac:dyDescent="0.2">
      <c r="B261" s="27" t="s">
        <v>209</v>
      </c>
      <c r="C261" s="58">
        <f>1590/5.68</f>
        <v>279.92957746478874</v>
      </c>
      <c r="D261" s="45"/>
      <c r="E261" s="40"/>
      <c r="F261" s="55"/>
      <c r="G261" s="55"/>
      <c r="H261" s="40"/>
      <c r="I261" s="45"/>
      <c r="J261" s="45"/>
      <c r="K261" s="45"/>
    </row>
    <row r="262" spans="2:11" x14ac:dyDescent="0.2">
      <c r="B262" s="27" t="s">
        <v>210</v>
      </c>
      <c r="C262" s="58">
        <f>420/5.68</f>
        <v>73.943661971830991</v>
      </c>
      <c r="D262" s="45"/>
      <c r="E262" s="40"/>
      <c r="F262" s="55"/>
      <c r="G262" s="55"/>
      <c r="H262" s="40"/>
      <c r="I262" s="45"/>
      <c r="J262" s="45"/>
      <c r="K262" s="45"/>
    </row>
    <row r="263" spans="2:11" x14ac:dyDescent="0.2">
      <c r="B263" s="27" t="s">
        <v>211</v>
      </c>
      <c r="C263" s="58">
        <f>840/5.68</f>
        <v>147.88732394366198</v>
      </c>
      <c r="D263" s="45"/>
      <c r="E263" s="40"/>
      <c r="F263" s="55"/>
      <c r="G263" s="55"/>
      <c r="H263" s="40"/>
      <c r="I263" s="45"/>
      <c r="J263" s="45"/>
      <c r="K263" s="45"/>
    </row>
    <row r="264" spans="2:11" x14ac:dyDescent="0.2">
      <c r="B264" s="27" t="s">
        <v>212</v>
      </c>
      <c r="C264" s="58">
        <f>240/5.68</f>
        <v>42.253521126760567</v>
      </c>
      <c r="D264" s="45"/>
      <c r="E264" s="40"/>
      <c r="F264" s="55"/>
      <c r="G264" s="55"/>
      <c r="H264" s="40"/>
      <c r="I264" s="45"/>
      <c r="J264" s="45"/>
      <c r="K264" s="45"/>
    </row>
    <row r="265" spans="2:11" x14ac:dyDescent="0.2">
      <c r="B265" s="27" t="s">
        <v>213</v>
      </c>
      <c r="C265" s="58">
        <f>6859.99/5.68</f>
        <v>1207.7447183098591</v>
      </c>
      <c r="D265" s="45"/>
      <c r="E265" s="40"/>
      <c r="F265" s="55"/>
      <c r="G265" s="55"/>
      <c r="H265" s="40"/>
      <c r="I265" s="45"/>
      <c r="J265" s="45"/>
      <c r="K265" s="45"/>
    </row>
    <row r="266" spans="2:11" x14ac:dyDescent="0.2">
      <c r="B266" s="27" t="s">
        <v>213</v>
      </c>
      <c r="C266" s="58">
        <f>961.22/5.68</f>
        <v>169.22887323943664</v>
      </c>
      <c r="D266" s="45"/>
      <c r="E266" s="40"/>
      <c r="F266" s="55"/>
      <c r="G266" s="55"/>
      <c r="H266" s="40"/>
      <c r="I266" s="45"/>
      <c r="J266" s="45"/>
      <c r="K266" s="45"/>
    </row>
    <row r="267" spans="2:11" x14ac:dyDescent="0.2">
      <c r="B267" s="27" t="s">
        <v>214</v>
      </c>
      <c r="C267" s="58">
        <f>2362.92/5.68</f>
        <v>416.00704225352115</v>
      </c>
      <c r="D267" s="45"/>
      <c r="E267" s="40"/>
      <c r="F267" s="55"/>
      <c r="G267" s="55"/>
      <c r="H267" s="40"/>
      <c r="I267" s="45"/>
      <c r="J267" s="45"/>
      <c r="K267" s="45"/>
    </row>
    <row r="268" spans="2:11" x14ac:dyDescent="0.2">
      <c r="B268" s="27" t="s">
        <v>215</v>
      </c>
      <c r="C268" s="58">
        <f>126.6/5.68</f>
        <v>22.288732394366196</v>
      </c>
      <c r="D268" s="45"/>
      <c r="E268" s="40"/>
      <c r="F268" s="55"/>
      <c r="G268" s="55"/>
      <c r="H268" s="40"/>
      <c r="I268" s="45"/>
      <c r="J268" s="45"/>
      <c r="K268" s="45"/>
    </row>
    <row r="269" spans="2:11" x14ac:dyDescent="0.2">
      <c r="B269" s="27" t="s">
        <v>216</v>
      </c>
      <c r="C269" s="58">
        <f>1055.96/5.68</f>
        <v>185.90845070422537</v>
      </c>
      <c r="D269" s="45"/>
      <c r="E269" s="40"/>
      <c r="F269" s="55"/>
      <c r="G269" s="55"/>
      <c r="H269" s="40"/>
      <c r="I269" s="45"/>
      <c r="J269" s="45"/>
      <c r="K269" s="45"/>
    </row>
    <row r="270" spans="2:11" x14ac:dyDescent="0.2">
      <c r="B270" s="27" t="s">
        <v>217</v>
      </c>
      <c r="C270" s="58">
        <f>1457.19/5.68</f>
        <v>256.54753521126764</v>
      </c>
      <c r="D270" s="45"/>
      <c r="E270" s="40"/>
      <c r="F270" s="55"/>
      <c r="G270" s="55"/>
      <c r="H270" s="40"/>
      <c r="I270" s="45"/>
      <c r="J270" s="45"/>
      <c r="K270" s="45"/>
    </row>
    <row r="271" spans="2:11" x14ac:dyDescent="0.2">
      <c r="B271" s="27" t="s">
        <v>218</v>
      </c>
      <c r="C271" s="58">
        <f>11245.35/5.68</f>
        <v>1979.8151408450706</v>
      </c>
      <c r="D271" s="45"/>
      <c r="E271" s="40"/>
      <c r="F271" s="55"/>
      <c r="G271" s="55"/>
      <c r="H271" s="40"/>
      <c r="I271" s="45"/>
      <c r="J271" s="45"/>
      <c r="K271" s="45"/>
    </row>
    <row r="272" spans="2:11" x14ac:dyDescent="0.2">
      <c r="B272" s="27" t="s">
        <v>219</v>
      </c>
      <c r="C272" s="58">
        <f>754.65/5.68</f>
        <v>132.86091549295776</v>
      </c>
      <c r="D272" s="45"/>
      <c r="E272" s="40"/>
      <c r="F272" s="55"/>
      <c r="G272" s="55"/>
      <c r="H272" s="40"/>
      <c r="I272" s="45"/>
      <c r="J272" s="45"/>
      <c r="K272" s="45"/>
    </row>
    <row r="273" spans="2:11" x14ac:dyDescent="0.2">
      <c r="B273" s="27" t="s">
        <v>220</v>
      </c>
      <c r="C273" s="58">
        <f>2352.09/5.68</f>
        <v>414.10035211267609</v>
      </c>
      <c r="D273" s="45"/>
      <c r="E273" s="40"/>
      <c r="F273" s="55"/>
      <c r="G273" s="55"/>
      <c r="H273" s="40"/>
      <c r="I273" s="45"/>
      <c r="J273" s="45"/>
      <c r="K273" s="45"/>
    </row>
    <row r="274" spans="2:11" x14ac:dyDescent="0.2">
      <c r="B274" s="27" t="s">
        <v>221</v>
      </c>
      <c r="C274" s="58">
        <f>190.71/5.68</f>
        <v>33.575704225352119</v>
      </c>
      <c r="D274" s="45"/>
      <c r="E274" s="40"/>
      <c r="F274" s="55"/>
      <c r="G274" s="55"/>
      <c r="H274" s="40"/>
      <c r="I274" s="45"/>
      <c r="J274" s="45"/>
      <c r="K274" s="45"/>
    </row>
    <row r="275" spans="2:11" x14ac:dyDescent="0.2">
      <c r="B275" s="27" t="s">
        <v>222</v>
      </c>
      <c r="C275" s="58">
        <f>1100/5.68</f>
        <v>193.66197183098592</v>
      </c>
      <c r="D275" s="45"/>
      <c r="E275" s="40"/>
      <c r="F275" s="55"/>
      <c r="G275" s="55"/>
      <c r="H275" s="40"/>
      <c r="I275" s="45"/>
      <c r="J275" s="45"/>
      <c r="K275" s="45"/>
    </row>
    <row r="276" spans="2:11" x14ac:dyDescent="0.2">
      <c r="B276" s="58" t="s">
        <v>223</v>
      </c>
      <c r="C276" s="58">
        <f>420/5.68</f>
        <v>73.943661971830991</v>
      </c>
      <c r="D276" s="45"/>
      <c r="E276" s="40"/>
      <c r="F276" s="55"/>
      <c r="G276" s="55"/>
      <c r="H276" s="40"/>
      <c r="I276" s="45"/>
      <c r="J276" s="45"/>
      <c r="K276" s="45"/>
    </row>
    <row r="277" spans="2:11" x14ac:dyDescent="0.2">
      <c r="B277" s="58" t="s">
        <v>223</v>
      </c>
      <c r="C277" s="58">
        <f>105/5.68</f>
        <v>18.485915492957748</v>
      </c>
      <c r="D277" s="45"/>
      <c r="E277" s="40"/>
      <c r="F277" s="55"/>
      <c r="G277" s="55"/>
      <c r="H277" s="40"/>
      <c r="I277" s="45"/>
      <c r="J277" s="45"/>
      <c r="K277" s="45"/>
    </row>
    <row r="278" spans="2:11" ht="16.5" x14ac:dyDescent="0.3">
      <c r="B278" s="227" t="s">
        <v>241</v>
      </c>
      <c r="C278" s="230">
        <f>28+45</f>
        <v>73</v>
      </c>
      <c r="D278" s="45"/>
      <c r="E278" s="40"/>
      <c r="F278" s="55"/>
      <c r="G278" s="55"/>
      <c r="H278" s="40"/>
      <c r="I278" s="45"/>
      <c r="J278" s="45"/>
      <c r="K278" s="45"/>
    </row>
    <row r="279" spans="2:11" ht="14.25" customHeight="1" x14ac:dyDescent="0.3">
      <c r="B279" s="227" t="s">
        <v>241</v>
      </c>
      <c r="C279" s="230">
        <f>15+25+45</f>
        <v>85</v>
      </c>
      <c r="D279" s="55"/>
      <c r="E279" s="40"/>
      <c r="F279" s="55"/>
      <c r="G279" s="55"/>
      <c r="H279" s="40"/>
      <c r="I279" s="45"/>
      <c r="J279" s="45"/>
      <c r="K279" s="45"/>
    </row>
    <row r="280" spans="2:11" ht="14.25" customHeight="1" x14ac:dyDescent="0.2">
      <c r="B280" s="45" t="s">
        <v>242</v>
      </c>
      <c r="C280" s="55">
        <f>463/5.68</f>
        <v>81.514084507042256</v>
      </c>
      <c r="D280" s="55"/>
      <c r="E280" s="40"/>
      <c r="F280" s="55"/>
      <c r="G280" s="55"/>
      <c r="H280" s="40"/>
      <c r="I280" s="45"/>
      <c r="J280" s="45"/>
      <c r="K280" s="45"/>
    </row>
    <row r="281" spans="2:11" ht="13.5" thickBot="1" x14ac:dyDescent="0.25">
      <c r="B281" s="45"/>
      <c r="C281" s="40"/>
      <c r="D281" s="55"/>
      <c r="E281" s="40"/>
      <c r="F281" s="40"/>
      <c r="G281" s="55"/>
      <c r="H281" s="40"/>
      <c r="I281" s="45"/>
      <c r="J281" s="45"/>
      <c r="K281" s="45"/>
    </row>
    <row r="282" spans="2:11" ht="13.5" thickBot="1" x14ac:dyDescent="0.25">
      <c r="B282" s="56" t="s">
        <v>16</v>
      </c>
      <c r="C282" s="38">
        <f t="shared" ref="C282:H282" si="0">SUM(C114:C281)</f>
        <v>77236.993098591585</v>
      </c>
      <c r="D282" s="38">
        <f t="shared" si="0"/>
        <v>0</v>
      </c>
      <c r="E282" s="38">
        <f t="shared" si="0"/>
        <v>0</v>
      </c>
      <c r="F282" s="38">
        <f t="shared" si="0"/>
        <v>0</v>
      </c>
      <c r="G282" s="38">
        <f t="shared" si="0"/>
        <v>0</v>
      </c>
      <c r="H282" s="38">
        <f t="shared" si="0"/>
        <v>0</v>
      </c>
      <c r="I282" s="171"/>
      <c r="J282" s="172"/>
      <c r="K282" s="172"/>
    </row>
    <row r="283" spans="2:11" x14ac:dyDescent="0.2">
      <c r="B283" s="17"/>
      <c r="C283" s="39"/>
      <c r="D283" s="39"/>
      <c r="E283" s="39"/>
      <c r="F283" s="39"/>
      <c r="G283" s="39"/>
      <c r="H283" s="39"/>
      <c r="I283" s="17"/>
      <c r="J283" s="17"/>
      <c r="K283" s="17"/>
    </row>
    <row r="284" spans="2:11" x14ac:dyDescent="0.2">
      <c r="B284" s="15" t="s">
        <v>34</v>
      </c>
      <c r="C284" s="182"/>
      <c r="D284" s="55"/>
      <c r="E284" s="40"/>
      <c r="F284" s="58"/>
      <c r="G284" s="58"/>
      <c r="H284" s="58"/>
      <c r="I284" s="45"/>
      <c r="J284" s="45"/>
      <c r="K284" s="45"/>
    </row>
    <row r="285" spans="2:11" ht="16.5" x14ac:dyDescent="0.3">
      <c r="B285" s="191"/>
      <c r="C285" s="146"/>
      <c r="D285" s="55"/>
      <c r="E285" s="55"/>
      <c r="F285" s="55"/>
      <c r="G285" s="55"/>
      <c r="H285" s="40"/>
      <c r="I285" s="45"/>
      <c r="J285" s="45"/>
      <c r="K285" s="154"/>
    </row>
    <row r="286" spans="2:11" ht="16.5" x14ac:dyDescent="0.3">
      <c r="B286" s="191"/>
      <c r="C286" s="146"/>
      <c r="D286" s="58"/>
      <c r="E286" s="55"/>
      <c r="F286" s="58"/>
      <c r="G286" s="58"/>
      <c r="H286" s="58"/>
      <c r="I286" s="45"/>
      <c r="J286" s="45"/>
      <c r="K286" s="45"/>
    </row>
    <row r="287" spans="2:11" ht="16.5" x14ac:dyDescent="0.3">
      <c r="B287" s="191"/>
      <c r="C287" s="146"/>
      <c r="D287" s="58"/>
      <c r="E287" s="55"/>
      <c r="F287" s="58"/>
      <c r="G287" s="58"/>
      <c r="H287" s="58"/>
      <c r="I287" s="45"/>
      <c r="J287" s="45"/>
      <c r="K287" s="45"/>
    </row>
    <row r="288" spans="2:11" ht="16.5" x14ac:dyDescent="0.3">
      <c r="B288" s="191"/>
      <c r="C288" s="146"/>
      <c r="D288" s="58"/>
      <c r="E288" s="55"/>
      <c r="F288" s="58"/>
      <c r="G288" s="58"/>
      <c r="H288" s="58"/>
      <c r="I288" s="45"/>
      <c r="J288" s="45"/>
      <c r="K288" s="45"/>
    </row>
    <row r="289" spans="2:11" ht="16.5" x14ac:dyDescent="0.3">
      <c r="B289" s="191"/>
      <c r="C289" s="146"/>
      <c r="D289" s="58"/>
      <c r="E289" s="55"/>
      <c r="F289" s="58"/>
      <c r="G289" s="58"/>
      <c r="H289" s="58"/>
      <c r="I289" s="45"/>
      <c r="J289" s="45"/>
      <c r="K289" s="45"/>
    </row>
    <row r="290" spans="2:11" ht="16.5" x14ac:dyDescent="0.3">
      <c r="B290" s="191"/>
      <c r="C290" s="146"/>
      <c r="D290" s="58"/>
      <c r="E290" s="55"/>
      <c r="F290" s="58"/>
      <c r="G290" s="58"/>
      <c r="H290" s="58"/>
      <c r="I290" s="45"/>
      <c r="J290" s="45"/>
      <c r="K290" s="45"/>
    </row>
    <row r="291" spans="2:11" ht="16.5" x14ac:dyDescent="0.3">
      <c r="B291" s="191"/>
      <c r="C291" s="146"/>
      <c r="D291" s="58"/>
      <c r="E291" s="55"/>
      <c r="F291" s="58"/>
      <c r="G291" s="58"/>
      <c r="H291" s="58"/>
      <c r="I291" s="45"/>
      <c r="J291" s="45"/>
      <c r="K291" s="45"/>
    </row>
    <row r="292" spans="2:11" ht="16.5" x14ac:dyDescent="0.3">
      <c r="B292" s="191"/>
      <c r="C292" s="146"/>
      <c r="D292" s="58"/>
      <c r="E292" s="55"/>
      <c r="F292" s="58"/>
      <c r="G292" s="58"/>
      <c r="H292" s="58"/>
      <c r="I292" s="45"/>
      <c r="J292" s="45"/>
      <c r="K292" s="45"/>
    </row>
    <row r="293" spans="2:11" ht="16.5" x14ac:dyDescent="0.3">
      <c r="B293" s="191"/>
      <c r="C293" s="146"/>
      <c r="D293" s="58"/>
      <c r="E293" s="55"/>
      <c r="F293" s="58"/>
      <c r="G293" s="58"/>
      <c r="H293" s="58"/>
      <c r="I293" s="45"/>
      <c r="J293" s="45"/>
      <c r="K293" s="45"/>
    </row>
    <row r="294" spans="2:11" ht="16.5" x14ac:dyDescent="0.3">
      <c r="B294" s="191"/>
      <c r="C294" s="146"/>
      <c r="D294" s="58"/>
      <c r="E294" s="55"/>
      <c r="F294" s="58"/>
      <c r="G294" s="58"/>
      <c r="H294" s="58"/>
      <c r="I294" s="45"/>
      <c r="J294" s="45"/>
      <c r="K294" s="45"/>
    </row>
    <row r="295" spans="2:11" ht="16.5" x14ac:dyDescent="0.3">
      <c r="B295" s="191"/>
      <c r="C295" s="146"/>
      <c r="D295" s="58"/>
      <c r="E295" s="55"/>
      <c r="F295" s="58"/>
      <c r="G295" s="58"/>
      <c r="H295" s="58"/>
      <c r="I295" s="45"/>
      <c r="J295" s="45"/>
      <c r="K295" s="45"/>
    </row>
    <row r="296" spans="2:11" ht="14.25" x14ac:dyDescent="0.2">
      <c r="B296" s="173"/>
      <c r="C296" s="174"/>
      <c r="D296" s="58"/>
      <c r="E296" s="55"/>
      <c r="F296" s="58"/>
      <c r="G296" s="58"/>
      <c r="H296" s="58"/>
      <c r="I296" s="45"/>
      <c r="J296" s="45"/>
      <c r="K296" s="45"/>
    </row>
    <row r="297" spans="2:11" ht="16.5" x14ac:dyDescent="0.3">
      <c r="B297" s="173"/>
      <c r="C297" s="146"/>
      <c r="D297" s="58"/>
      <c r="E297" s="55"/>
      <c r="F297" s="58"/>
      <c r="G297" s="58"/>
      <c r="H297" s="58"/>
      <c r="I297" s="45"/>
      <c r="J297" s="45"/>
      <c r="K297" s="45"/>
    </row>
    <row r="298" spans="2:11" ht="16.5" x14ac:dyDescent="0.3">
      <c r="B298" s="173"/>
      <c r="C298" s="146"/>
      <c r="D298" s="55"/>
      <c r="E298" s="55"/>
      <c r="F298" s="58"/>
      <c r="G298" s="58"/>
      <c r="H298" s="58"/>
      <c r="I298" s="45"/>
      <c r="J298" s="45"/>
      <c r="K298" s="45"/>
    </row>
    <row r="299" spans="2:11" ht="13.5" thickBot="1" x14ac:dyDescent="0.25">
      <c r="B299" s="56" t="s">
        <v>16</v>
      </c>
      <c r="C299" s="57">
        <f>SUM(C285:C298)</f>
        <v>0</v>
      </c>
      <c r="D299" s="57">
        <f>SUM(D285:D297)</f>
        <v>0</v>
      </c>
      <c r="E299" s="57">
        <f>SUM(E286:E297)</f>
        <v>0</v>
      </c>
      <c r="F299" s="57">
        <f>SUM(F285:F297)</f>
        <v>0</v>
      </c>
      <c r="G299" s="57">
        <f>SUM(G285:G297)</f>
        <v>0</v>
      </c>
      <c r="H299" s="175"/>
      <c r="I299" s="158"/>
      <c r="J299" s="158"/>
      <c r="K299" s="176"/>
    </row>
    <row r="300" spans="2:11" x14ac:dyDescent="0.2">
      <c r="B300" s="17"/>
      <c r="C300" s="39"/>
      <c r="D300" s="39"/>
      <c r="E300" s="39"/>
      <c r="F300" s="39"/>
      <c r="G300" s="39"/>
      <c r="H300" s="39"/>
      <c r="I300" s="17"/>
      <c r="J300" s="17"/>
      <c r="K300" s="17"/>
    </row>
    <row r="301" spans="2:11" x14ac:dyDescent="0.2">
      <c r="B301" s="15"/>
      <c r="C301" s="40"/>
      <c r="D301" s="55"/>
      <c r="E301" s="40"/>
      <c r="F301" s="58"/>
      <c r="G301" s="58"/>
      <c r="H301" s="58"/>
      <c r="I301" s="45"/>
      <c r="J301" s="45"/>
      <c r="K301" s="45"/>
    </row>
    <row r="302" spans="2:11" x14ac:dyDescent="0.2">
      <c r="B302" s="41"/>
      <c r="C302" s="40"/>
      <c r="D302" s="55">
        <v>0</v>
      </c>
      <c r="E302" s="40">
        <f>D302-C302</f>
        <v>0</v>
      </c>
      <c r="F302" s="58"/>
      <c r="G302" s="58"/>
      <c r="H302" s="58"/>
      <c r="I302" s="45"/>
      <c r="J302" s="45"/>
      <c r="K302" s="45"/>
    </row>
    <row r="303" spans="2:11" x14ac:dyDescent="0.2">
      <c r="B303" s="41"/>
      <c r="C303" s="40"/>
      <c r="D303" s="55">
        <v>0</v>
      </c>
      <c r="E303" s="40">
        <f>D303-C303</f>
        <v>0</v>
      </c>
      <c r="F303" s="58"/>
      <c r="G303" s="58"/>
      <c r="H303" s="58"/>
      <c r="I303" s="45"/>
      <c r="J303" s="45"/>
      <c r="K303" s="45"/>
    </row>
    <row r="304" spans="2:11" ht="13.5" thickBot="1" x14ac:dyDescent="0.25">
      <c r="B304" s="41"/>
      <c r="C304" s="40"/>
      <c r="D304" s="55"/>
      <c r="E304" s="40"/>
      <c r="F304" s="58"/>
      <c r="G304" s="58"/>
      <c r="H304" s="58"/>
      <c r="I304" s="45"/>
      <c r="J304" s="45"/>
      <c r="K304" s="45"/>
    </row>
    <row r="305" spans="2:11" ht="13.5" thickBot="1" x14ac:dyDescent="0.25">
      <c r="B305" s="16" t="s">
        <v>16</v>
      </c>
      <c r="C305" s="37">
        <f>SUM(C302:C303)</f>
        <v>0</v>
      </c>
      <c r="D305" s="37">
        <f t="shared" ref="D305:E305" si="1">SUM(D302:D303)</f>
        <v>0</v>
      </c>
      <c r="E305" s="37">
        <f t="shared" si="1"/>
        <v>0</v>
      </c>
      <c r="F305" s="170"/>
      <c r="G305" s="170"/>
      <c r="H305" s="170"/>
      <c r="I305" s="177"/>
      <c r="J305" s="177"/>
      <c r="K305" s="172"/>
    </row>
    <row r="306" spans="2:11" x14ac:dyDescent="0.2">
      <c r="B306" s="17"/>
      <c r="C306" s="39"/>
      <c r="D306" s="39"/>
      <c r="E306" s="39"/>
      <c r="F306" s="39"/>
      <c r="G306" s="39"/>
      <c r="H306" s="39"/>
      <c r="I306" s="17"/>
      <c r="J306" s="17"/>
      <c r="K306" s="17"/>
    </row>
    <row r="307" spans="2:11" x14ac:dyDescent="0.2">
      <c r="B307" s="28"/>
      <c r="C307" s="40"/>
      <c r="D307" s="40"/>
      <c r="E307" s="40"/>
      <c r="F307" s="58"/>
      <c r="G307" s="58"/>
      <c r="H307" s="58"/>
      <c r="I307" s="45"/>
      <c r="J307" s="45"/>
      <c r="K307" s="45"/>
    </row>
    <row r="308" spans="2:11" x14ac:dyDescent="0.2">
      <c r="B308" s="28" t="s">
        <v>29</v>
      </c>
      <c r="C308" s="40"/>
      <c r="D308" s="40"/>
      <c r="E308" s="40"/>
      <c r="F308" s="58"/>
      <c r="G308" s="58"/>
      <c r="H308" s="58"/>
      <c r="I308" s="45"/>
      <c r="J308" s="45"/>
      <c r="K308" s="45"/>
    </row>
    <row r="309" spans="2:11" ht="13.5" thickBot="1" x14ac:dyDescent="0.25">
      <c r="B309" s="28"/>
      <c r="C309" s="40"/>
      <c r="D309" s="40"/>
      <c r="E309" s="40"/>
      <c r="F309" s="58"/>
      <c r="G309" s="58"/>
      <c r="H309" s="58"/>
      <c r="I309" s="45"/>
      <c r="J309" s="45"/>
      <c r="K309" s="45"/>
    </row>
    <row r="310" spans="2:11" s="12" customFormat="1" ht="13.5" thickBot="1" x14ac:dyDescent="0.25">
      <c r="B310" s="29" t="s">
        <v>25</v>
      </c>
      <c r="C310" s="46">
        <f>C59+C68+C91+C101+C111+C282+C299</f>
        <v>346406.93197183101</v>
      </c>
      <c r="D310" s="30">
        <f>D59+D68+D91+D101+D111+D282+D299+D305+D308</f>
        <v>0</v>
      </c>
      <c r="E310" s="30">
        <f>D310-C310</f>
        <v>-346406.93197183101</v>
      </c>
      <c r="F310" s="30"/>
      <c r="G310" s="30"/>
      <c r="H310" s="30"/>
      <c r="I310" s="47"/>
      <c r="J310" s="48"/>
      <c r="K310" s="48"/>
    </row>
  </sheetData>
  <mergeCells count="7">
    <mergeCell ref="F9:H9"/>
    <mergeCell ref="F10:H10"/>
    <mergeCell ref="B1:J1"/>
    <mergeCell ref="B3:J3"/>
    <mergeCell ref="B4:J4"/>
    <mergeCell ref="B2:J2"/>
    <mergeCell ref="C9:E11"/>
  </mergeCells>
  <phoneticPr fontId="0" type="noConversion"/>
  <pageMargins left="0" right="0" top="0.43" bottom="0.36" header="0.21" footer="0.18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workbookViewId="0">
      <selection activeCell="C14" sqref="C14:E14"/>
    </sheetView>
  </sheetViews>
  <sheetFormatPr defaultRowHeight="12.75" x14ac:dyDescent="0.2"/>
  <cols>
    <col min="1" max="1" width="9.140625" style="68"/>
    <col min="2" max="2" width="57.5703125" style="68" customWidth="1"/>
    <col min="3" max="4" width="12.85546875" style="68" bestFit="1" customWidth="1"/>
    <col min="5" max="5" width="13.28515625" style="68" customWidth="1"/>
    <col min="6" max="6" width="10.42578125" style="68" customWidth="1"/>
    <col min="7" max="7" width="11.5703125" style="68" customWidth="1"/>
    <col min="8" max="8" width="9.140625" style="68"/>
    <col min="9" max="9" width="14.85546875" style="68" customWidth="1"/>
    <col min="10" max="10" width="10.85546875" style="68" bestFit="1" customWidth="1"/>
    <col min="11" max="16384" width="9.140625" style="68"/>
  </cols>
  <sheetData>
    <row r="3" spans="2:11" ht="15.75" x14ac:dyDescent="0.25">
      <c r="B3" s="67"/>
    </row>
    <row r="4" spans="2:11" ht="16.5" thickBot="1" x14ac:dyDescent="0.3">
      <c r="B4" s="69"/>
      <c r="C4" s="70"/>
      <c r="D4" s="70"/>
      <c r="E4" s="70"/>
      <c r="F4" s="70"/>
      <c r="G4" s="70"/>
      <c r="H4" s="70"/>
      <c r="I4" s="70"/>
      <c r="J4" s="70"/>
      <c r="K4" s="70"/>
    </row>
    <row r="5" spans="2:11" x14ac:dyDescent="0.2">
      <c r="B5" s="214" t="s">
        <v>77</v>
      </c>
      <c r="C5" s="214"/>
      <c r="D5" s="214"/>
      <c r="E5" s="214"/>
      <c r="F5" s="214"/>
      <c r="G5" s="214"/>
      <c r="H5" s="214"/>
      <c r="I5" s="214"/>
      <c r="J5" s="214"/>
    </row>
    <row r="6" spans="2:11" ht="15" x14ac:dyDescent="0.25">
      <c r="B6" s="206" t="s">
        <v>81</v>
      </c>
      <c r="C6" s="207"/>
      <c r="D6" s="207"/>
      <c r="E6" s="207"/>
      <c r="F6" s="207"/>
      <c r="G6" s="207"/>
      <c r="H6" s="207"/>
      <c r="I6" s="207"/>
      <c r="J6" s="207"/>
    </row>
    <row r="7" spans="2:11" x14ac:dyDescent="0.2">
      <c r="B7" s="222" t="s">
        <v>24</v>
      </c>
      <c r="C7" s="222"/>
      <c r="D7" s="222"/>
      <c r="E7" s="222"/>
      <c r="F7" s="222"/>
      <c r="G7" s="222"/>
      <c r="H7" s="222"/>
      <c r="I7" s="222"/>
      <c r="J7" s="222"/>
    </row>
    <row r="8" spans="2:11" x14ac:dyDescent="0.2">
      <c r="B8" s="222" t="s">
        <v>154</v>
      </c>
      <c r="C8" s="222"/>
      <c r="D8" s="222"/>
      <c r="E8" s="222"/>
      <c r="F8" s="222"/>
      <c r="G8" s="222"/>
      <c r="H8" s="222"/>
      <c r="I8" s="222"/>
      <c r="J8" s="222"/>
    </row>
    <row r="10" spans="2:11" x14ac:dyDescent="0.2">
      <c r="F10" s="71" t="s">
        <v>28</v>
      </c>
      <c r="J10" s="72"/>
    </row>
    <row r="12" spans="2:11" x14ac:dyDescent="0.2">
      <c r="B12" s="73"/>
      <c r="C12" s="73"/>
      <c r="D12" s="74"/>
      <c r="E12" s="75"/>
      <c r="F12" s="73"/>
      <c r="G12" s="74"/>
      <c r="H12" s="75"/>
      <c r="I12" s="75"/>
      <c r="J12" s="75"/>
      <c r="K12" s="75"/>
    </row>
    <row r="13" spans="2:11" x14ac:dyDescent="0.2">
      <c r="B13" s="76"/>
      <c r="C13" s="221"/>
      <c r="D13" s="219"/>
      <c r="E13" s="220"/>
      <c r="F13" s="221"/>
      <c r="G13" s="219"/>
      <c r="H13" s="220"/>
      <c r="I13" s="77"/>
      <c r="J13" s="77"/>
      <c r="K13" s="77"/>
    </row>
    <row r="14" spans="2:11" x14ac:dyDescent="0.2">
      <c r="B14" s="78" t="s">
        <v>1</v>
      </c>
      <c r="C14" s="218" t="s">
        <v>85</v>
      </c>
      <c r="D14" s="219"/>
      <c r="E14" s="220"/>
      <c r="F14" s="221" t="s">
        <v>20</v>
      </c>
      <c r="G14" s="219"/>
      <c r="H14" s="220"/>
      <c r="I14" s="77" t="s">
        <v>17</v>
      </c>
      <c r="J14" s="77" t="s">
        <v>18</v>
      </c>
      <c r="K14" s="77" t="s">
        <v>12</v>
      </c>
    </row>
    <row r="15" spans="2:11" x14ac:dyDescent="0.2">
      <c r="B15" s="79"/>
      <c r="C15" s="79"/>
      <c r="D15" s="80"/>
      <c r="E15" s="81"/>
      <c r="F15" s="82"/>
      <c r="G15" s="83" t="s">
        <v>19</v>
      </c>
      <c r="H15" s="81"/>
      <c r="I15" s="84" t="s">
        <v>9</v>
      </c>
      <c r="J15" s="84" t="s">
        <v>11</v>
      </c>
      <c r="K15" s="84" t="s">
        <v>13</v>
      </c>
    </row>
    <row r="16" spans="2:11" x14ac:dyDescent="0.2">
      <c r="B16" s="85"/>
      <c r="C16" s="85" t="s">
        <v>7</v>
      </c>
      <c r="D16" s="86" t="s">
        <v>8</v>
      </c>
      <c r="E16" s="87" t="s">
        <v>9</v>
      </c>
      <c r="F16" s="85" t="s">
        <v>7</v>
      </c>
      <c r="G16" s="86" t="s">
        <v>8</v>
      </c>
      <c r="H16" s="87" t="s">
        <v>9</v>
      </c>
      <c r="I16" s="87"/>
      <c r="J16" s="87"/>
      <c r="K16" s="87"/>
    </row>
    <row r="17" spans="2:11" x14ac:dyDescent="0.2">
      <c r="B17" s="15"/>
      <c r="C17" s="61"/>
      <c r="D17" s="61"/>
      <c r="E17" s="61"/>
      <c r="F17" s="61"/>
      <c r="G17" s="61"/>
      <c r="H17" s="61"/>
      <c r="I17" s="89"/>
      <c r="J17" s="89"/>
      <c r="K17" s="89"/>
    </row>
    <row r="18" spans="2:11" x14ac:dyDescent="0.2">
      <c r="B18" s="90"/>
      <c r="C18" s="61"/>
      <c r="D18" s="61"/>
      <c r="E18" s="61">
        <f t="shared" ref="E18" si="0">C18-D18</f>
        <v>0</v>
      </c>
      <c r="F18" s="61"/>
      <c r="G18" s="91"/>
      <c r="H18" s="61"/>
      <c r="I18" s="89"/>
      <c r="J18" s="89"/>
      <c r="K18" s="89"/>
    </row>
    <row r="19" spans="2:11" x14ac:dyDescent="0.2">
      <c r="B19" s="90"/>
      <c r="C19" s="61"/>
      <c r="D19" s="61"/>
      <c r="E19" s="61"/>
      <c r="F19" s="61"/>
      <c r="G19" s="91"/>
      <c r="H19" s="61"/>
      <c r="I19" s="89"/>
      <c r="J19" s="89"/>
      <c r="K19" s="89"/>
    </row>
    <row r="20" spans="2:11" x14ac:dyDescent="0.2">
      <c r="B20" s="90"/>
      <c r="C20" s="61"/>
      <c r="D20" s="61"/>
      <c r="E20" s="61"/>
      <c r="F20" s="61"/>
      <c r="G20" s="91"/>
      <c r="H20" s="61"/>
      <c r="I20" s="90"/>
      <c r="J20" s="89"/>
      <c r="K20" s="89"/>
    </row>
    <row r="21" spans="2:11" x14ac:dyDescent="0.2">
      <c r="B21" s="88"/>
      <c r="C21" s="61"/>
      <c r="D21" s="61"/>
      <c r="E21" s="61"/>
      <c r="F21" s="61"/>
      <c r="G21" s="61"/>
      <c r="H21" s="61"/>
      <c r="I21" s="89"/>
      <c r="J21" s="89"/>
      <c r="K21" s="89"/>
    </row>
    <row r="22" spans="2:11" s="72" customFormat="1" x14ac:dyDescent="0.2">
      <c r="B22" s="92" t="s">
        <v>16</v>
      </c>
      <c r="C22" s="93">
        <f>SUM(C18:C20)</f>
        <v>0</v>
      </c>
      <c r="D22" s="93">
        <f>SUM(D18:D20)</f>
        <v>0</v>
      </c>
      <c r="E22" s="93">
        <f>SUM(E18:E20)</f>
        <v>0</v>
      </c>
      <c r="F22" s="94">
        <f>SUM(F18:F21)</f>
        <v>0</v>
      </c>
      <c r="G22" s="94">
        <f>SUM(G18:G21)</f>
        <v>0</v>
      </c>
      <c r="H22" s="94">
        <f>SUM(H18:H21)</f>
        <v>0</v>
      </c>
      <c r="I22" s="92"/>
      <c r="J22" s="92"/>
      <c r="K22" s="92"/>
    </row>
    <row r="23" spans="2:11" x14ac:dyDescent="0.2">
      <c r="B23" s="89"/>
      <c r="C23" s="61"/>
      <c r="D23" s="61"/>
      <c r="E23" s="61"/>
      <c r="F23" s="61"/>
      <c r="G23" s="61"/>
      <c r="H23" s="61"/>
      <c r="I23" s="89"/>
      <c r="J23" s="89"/>
      <c r="K23" s="89"/>
    </row>
    <row r="24" spans="2:11" x14ac:dyDescent="0.2">
      <c r="C24" s="61"/>
      <c r="D24" s="61"/>
      <c r="E24" s="61"/>
      <c r="F24" s="61"/>
      <c r="G24" s="61"/>
      <c r="H24" s="61"/>
      <c r="I24" s="89"/>
      <c r="J24" s="89"/>
      <c r="K24" s="89"/>
    </row>
    <row r="25" spans="2:11" x14ac:dyDescent="0.2">
      <c r="B25" s="90"/>
      <c r="C25" s="61"/>
      <c r="D25" s="91"/>
      <c r="E25" s="61"/>
      <c r="F25" s="61"/>
      <c r="G25" s="91"/>
      <c r="H25" s="61"/>
      <c r="I25" s="89"/>
      <c r="J25" s="89"/>
      <c r="K25" s="89"/>
    </row>
    <row r="26" spans="2:11" x14ac:dyDescent="0.2">
      <c r="B26" s="104" t="s">
        <v>37</v>
      </c>
      <c r="C26" s="105"/>
      <c r="D26" s="91"/>
      <c r="E26" s="61"/>
      <c r="F26" s="61"/>
      <c r="G26" s="91"/>
      <c r="H26" s="61"/>
      <c r="I26" s="89"/>
      <c r="J26" s="89"/>
      <c r="K26" s="89"/>
    </row>
    <row r="27" spans="2:11" x14ac:dyDescent="0.2">
      <c r="B27" s="104" t="s">
        <v>40</v>
      </c>
      <c r="C27" s="105"/>
      <c r="D27" s="91"/>
      <c r="E27" s="61"/>
      <c r="F27" s="61"/>
      <c r="G27" s="91"/>
      <c r="H27" s="61"/>
      <c r="I27" s="89"/>
      <c r="J27" s="89"/>
      <c r="K27" s="89"/>
    </row>
    <row r="28" spans="2:11" x14ac:dyDescent="0.2">
      <c r="B28" s="104" t="s">
        <v>39</v>
      </c>
      <c r="C28" s="105"/>
      <c r="D28" s="91"/>
      <c r="E28" s="61"/>
      <c r="F28" s="61"/>
      <c r="G28" s="91"/>
      <c r="H28" s="61"/>
      <c r="I28" s="89"/>
      <c r="J28" s="89"/>
      <c r="K28" s="89"/>
    </row>
    <row r="29" spans="2:11" x14ac:dyDescent="0.2">
      <c r="B29" s="90"/>
      <c r="C29" s="61"/>
      <c r="D29" s="91"/>
      <c r="E29" s="61"/>
      <c r="F29" s="61"/>
      <c r="G29" s="91"/>
      <c r="H29" s="61"/>
      <c r="I29" s="89"/>
      <c r="J29" s="89"/>
      <c r="K29" s="89"/>
    </row>
    <row r="30" spans="2:11" x14ac:dyDescent="0.2">
      <c r="B30" s="90"/>
      <c r="C30" s="61"/>
      <c r="D30" s="91"/>
      <c r="E30" s="61"/>
      <c r="F30" s="61"/>
      <c r="G30" s="91"/>
      <c r="H30" s="61"/>
      <c r="I30" s="90"/>
      <c r="J30" s="89"/>
      <c r="K30" s="89"/>
    </row>
    <row r="31" spans="2:11" x14ac:dyDescent="0.2">
      <c r="B31" s="92"/>
      <c r="C31" s="95"/>
      <c r="D31" s="95"/>
      <c r="E31" s="95"/>
      <c r="F31" s="61"/>
      <c r="G31" s="61"/>
      <c r="H31" s="61"/>
      <c r="I31" s="89"/>
      <c r="J31" s="89"/>
      <c r="K31" s="89"/>
    </row>
    <row r="32" spans="2:11" x14ac:dyDescent="0.2">
      <c r="B32" s="92"/>
      <c r="C32" s="95"/>
      <c r="D32" s="95"/>
      <c r="E32" s="95"/>
      <c r="F32" s="61"/>
      <c r="G32" s="61"/>
      <c r="H32" s="61"/>
      <c r="I32" s="89"/>
      <c r="J32" s="89"/>
      <c r="K32" s="89"/>
    </row>
    <row r="33" spans="2:11" x14ac:dyDescent="0.2">
      <c r="B33" s="92"/>
      <c r="C33" s="95"/>
      <c r="D33" s="95"/>
      <c r="E33" s="95"/>
      <c r="F33" s="61"/>
      <c r="G33" s="61"/>
      <c r="H33" s="61"/>
      <c r="I33" s="89"/>
      <c r="J33" s="89"/>
      <c r="K33" s="89"/>
    </row>
    <row r="34" spans="2:11" s="72" customFormat="1" x14ac:dyDescent="0.2">
      <c r="B34" s="88" t="s">
        <v>25</v>
      </c>
      <c r="C34" s="94">
        <f>C22</f>
        <v>0</v>
      </c>
      <c r="D34" s="94">
        <f>D22</f>
        <v>0</v>
      </c>
      <c r="E34" s="94">
        <f>D34-C34</f>
        <v>0</v>
      </c>
      <c r="F34" s="94"/>
      <c r="G34" s="94"/>
      <c r="H34" s="94"/>
      <c r="I34" s="92"/>
      <c r="J34" s="92"/>
      <c r="K34" s="92"/>
    </row>
  </sheetData>
  <mergeCells count="8">
    <mergeCell ref="B5:J5"/>
    <mergeCell ref="B6:J6"/>
    <mergeCell ref="C14:E14"/>
    <mergeCell ref="F14:H14"/>
    <mergeCell ref="B7:J7"/>
    <mergeCell ref="B8:J8"/>
    <mergeCell ref="C13:E13"/>
    <mergeCell ref="F13:H13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34" workbookViewId="0">
      <selection activeCell="C17" sqref="C17"/>
    </sheetView>
  </sheetViews>
  <sheetFormatPr defaultColWidth="8.85546875" defaultRowHeight="18.75" x14ac:dyDescent="0.3"/>
  <cols>
    <col min="1" max="2" width="8.85546875" style="107"/>
    <col min="3" max="3" width="96.42578125" style="107" customWidth="1"/>
    <col min="4" max="4" width="19.42578125" style="107" customWidth="1"/>
    <col min="5" max="5" width="16.140625" style="107" customWidth="1"/>
    <col min="6" max="6" width="16" style="107" bestFit="1" customWidth="1"/>
    <col min="7" max="7" width="14.5703125" style="107" bestFit="1" customWidth="1"/>
    <col min="8" max="8" width="17" style="107" customWidth="1"/>
    <col min="9" max="9" width="11.85546875" style="107" customWidth="1"/>
    <col min="10" max="12" width="8.85546875" style="107"/>
    <col min="13" max="13" width="27" style="107" customWidth="1"/>
    <col min="14" max="16384" width="8.85546875" style="107"/>
  </cols>
  <sheetData>
    <row r="1" spans="1:9" x14ac:dyDescent="0.3">
      <c r="A1" s="225" t="s">
        <v>80</v>
      </c>
      <c r="B1" s="225"/>
      <c r="C1" s="225"/>
      <c r="D1" s="225"/>
      <c r="E1" s="225"/>
    </row>
    <row r="2" spans="1:9" ht="39.950000000000003" customHeight="1" x14ac:dyDescent="0.3">
      <c r="A2" s="226" t="s">
        <v>224</v>
      </c>
      <c r="B2" s="226"/>
      <c r="C2" s="226"/>
      <c r="D2" s="226"/>
      <c r="E2" s="226"/>
      <c r="F2" s="108"/>
      <c r="G2" s="108"/>
      <c r="H2" s="108"/>
      <c r="I2" s="108"/>
    </row>
    <row r="3" spans="1:9" x14ac:dyDescent="0.3">
      <c r="A3" s="108"/>
      <c r="B3" s="108"/>
      <c r="C3" s="108"/>
      <c r="D3" s="109"/>
      <c r="E3" s="108"/>
      <c r="F3" s="108"/>
      <c r="G3" s="108"/>
      <c r="H3" s="108"/>
      <c r="I3" s="108"/>
    </row>
    <row r="4" spans="1:9" x14ac:dyDescent="0.3">
      <c r="A4" s="223" t="s">
        <v>42</v>
      </c>
      <c r="B4" s="223"/>
      <c r="C4" s="223"/>
      <c r="D4" s="223"/>
      <c r="E4" s="223"/>
      <c r="F4" s="108"/>
      <c r="G4" s="108"/>
      <c r="H4" s="108"/>
      <c r="I4" s="108"/>
    </row>
    <row r="5" spans="1:9" x14ac:dyDescent="0.3">
      <c r="A5" s="108"/>
      <c r="C5" s="108"/>
      <c r="D5" s="110"/>
    </row>
    <row r="6" spans="1:9" ht="19.5" thickBot="1" x14ac:dyDescent="0.35">
      <c r="A6" s="108">
        <v>1</v>
      </c>
      <c r="C6" s="108" t="s">
        <v>43</v>
      </c>
      <c r="D6" s="120"/>
    </row>
    <row r="7" spans="1:9" ht="19.5" thickTop="1" x14ac:dyDescent="0.3">
      <c r="C7" s="108"/>
    </row>
    <row r="8" spans="1:9" ht="31.5" x14ac:dyDescent="0.3">
      <c r="A8" s="108">
        <v>2</v>
      </c>
      <c r="C8" s="108" t="s">
        <v>44</v>
      </c>
      <c r="D8" s="111" t="s">
        <v>45</v>
      </c>
      <c r="E8" s="111" t="s">
        <v>46</v>
      </c>
    </row>
    <row r="9" spans="1:9" x14ac:dyDescent="0.3">
      <c r="A9" s="108"/>
      <c r="B9" s="108"/>
      <c r="C9" s="108"/>
      <c r="F9" s="112"/>
    </row>
    <row r="10" spans="1:9" x14ac:dyDescent="0.3">
      <c r="A10" s="108"/>
      <c r="B10" s="108" t="s">
        <v>47</v>
      </c>
      <c r="C10" s="113" t="s">
        <v>48</v>
      </c>
      <c r="D10" s="125">
        <f>'uses of fund by component'!C122</f>
        <v>4068.6619718309862</v>
      </c>
      <c r="E10" s="125">
        <f>'uses of fund by component'!C175+'uses of fund by component'!C176+'uses of fund by component'!C177+'uses of fund by component'!C178+'uses of fund by component'!C179+'uses of fund by component'!C180</f>
        <v>17152</v>
      </c>
      <c r="F10" s="112"/>
    </row>
    <row r="11" spans="1:9" x14ac:dyDescent="0.3">
      <c r="A11" s="108"/>
      <c r="B11" s="108"/>
      <c r="C11" s="113"/>
      <c r="D11" s="125"/>
      <c r="E11" s="125"/>
      <c r="F11" s="112"/>
      <c r="G11" s="144"/>
      <c r="H11" s="144"/>
    </row>
    <row r="12" spans="1:9" x14ac:dyDescent="0.3">
      <c r="A12" s="108"/>
      <c r="B12" s="108" t="s">
        <v>49</v>
      </c>
      <c r="C12" s="113" t="s">
        <v>50</v>
      </c>
      <c r="D12" s="125">
        <f>'uses of fund by component'!C167+'uses of fund by component'!C109+'uses of fund by component'!C223</f>
        <v>8871.2147887323954</v>
      </c>
      <c r="E12" s="125">
        <f>'uses of fund by component'!C123+'uses of fund by component'!C124+'uses of fund by component'!C125+'uses of fund by component'!C126+'uses of fund by component'!C127+'uses of fund by component'!C128+'uses of fund by component'!C129+'uses of fund by component'!C136+'uses of fund by component'!C137+'uses of fund by component'!C138+'uses of fund by component'!C139+'uses of fund by component'!C140+'uses of fund by component'!C143+'uses of fund by component'!C157+'uses of fund by component'!C158+'uses of fund by component'!C159+'uses of fund by component'!C160+'uses of fund by component'!C161+'uses of fund by component'!C162+'uses of fund by component'!C163+'uses of fund by component'!C164+'uses of fund by component'!C165+'uses of fund by component'!C104+'uses of fund by component'!C105+'uses of fund by component'!C106+'uses of fund by component'!C107+'uses of fund by component'!C108+'uses of fund by component'!C183+'uses of fund by component'!C184+'uses of fund by component'!C202+'uses of fund by component'!C203+'uses of fund by component'!C205+'uses of fund by component'!C206+'uses of fund by component'!C207+'uses of fund by component'!C208+'uses of fund by component'!C210+'uses of fund by component'!C211+'uses of fund by component'!C212+'uses of fund by component'!C215+'uses of fund by component'!C216+'uses of fund by component'!C217+'uses of fund by component'!C218+'uses of fund by component'!C219+'uses of fund by component'!C220+'uses of fund by component'!C221+'uses of fund by component'!C222+'uses of fund by component'!C227+'uses of fund by component'!C228+'uses of fund by component'!C229+'uses of fund by component'!C230+'uses of fund by component'!C231+'uses of fund by component'!C232+'uses of fund by component'!C233+'uses of fund by component'!C234+'uses of fund by component'!C235+'uses of fund by component'!C236+'uses of fund by component'!C238+'uses of fund by component'!C239+'uses of fund by component'!C240+'uses of fund by component'!C244+'uses of fund by component'!C245+'uses of fund by component'!C246+'uses of fund by component'!C247+'uses of fund by component'!C248+'uses of fund by component'!C249+'uses of fund by component'!C250+'uses of fund by component'!C251+'uses of fund by component'!C262+'uses of fund by component'!C276+'uses of fund by component'!C277</f>
        <v>14638.413732394365</v>
      </c>
      <c r="F12" s="112"/>
    </row>
    <row r="13" spans="1:9" x14ac:dyDescent="0.3">
      <c r="A13" s="108"/>
      <c r="B13" s="108"/>
      <c r="C13" s="113"/>
      <c r="D13" s="118"/>
      <c r="E13" s="118"/>
      <c r="F13" s="112"/>
    </row>
    <row r="14" spans="1:9" ht="19.5" thickBot="1" x14ac:dyDescent="0.35">
      <c r="A14" s="108"/>
      <c r="B14" s="108"/>
      <c r="C14" s="108" t="s">
        <v>51</v>
      </c>
      <c r="D14" s="119">
        <f>D10+D12+E10+E12</f>
        <v>44730.290492957749</v>
      </c>
      <c r="E14" s="118"/>
      <c r="F14" s="112"/>
    </row>
    <row r="15" spans="1:9" ht="19.5" thickTop="1" x14ac:dyDescent="0.3">
      <c r="A15" s="108"/>
      <c r="B15" s="108"/>
      <c r="C15" s="108"/>
      <c r="D15" s="118"/>
      <c r="E15" s="118"/>
      <c r="F15" s="112"/>
    </row>
    <row r="16" spans="1:9" ht="19.5" thickBot="1" x14ac:dyDescent="0.35">
      <c r="A16" s="108">
        <v>3</v>
      </c>
      <c r="B16" s="108"/>
      <c r="C16" s="108" t="s">
        <v>52</v>
      </c>
      <c r="D16" s="119"/>
      <c r="E16" s="118"/>
      <c r="F16" s="112"/>
    </row>
    <row r="17" spans="1:9" ht="19.5" thickTop="1" x14ac:dyDescent="0.3">
      <c r="A17" s="108"/>
      <c r="B17" s="108"/>
      <c r="C17" s="108"/>
      <c r="E17" s="114"/>
      <c r="F17" s="112"/>
    </row>
    <row r="18" spans="1:9" x14ac:dyDescent="0.3">
      <c r="A18" s="223" t="s">
        <v>53</v>
      </c>
      <c r="B18" s="223"/>
      <c r="C18" s="223"/>
      <c r="D18" s="223"/>
      <c r="E18" s="223"/>
      <c r="F18" s="112"/>
    </row>
    <row r="19" spans="1:9" ht="19.5" thickBot="1" x14ac:dyDescent="0.35">
      <c r="A19" s="108">
        <v>4</v>
      </c>
      <c r="B19" s="108"/>
      <c r="C19" s="108" t="s">
        <v>54</v>
      </c>
      <c r="D19" s="117"/>
      <c r="E19" s="121"/>
      <c r="F19" s="108"/>
      <c r="G19" s="108"/>
      <c r="H19" s="108"/>
      <c r="I19" s="108"/>
    </row>
    <row r="20" spans="1:9" ht="19.5" thickTop="1" x14ac:dyDescent="0.3">
      <c r="A20" s="108"/>
      <c r="B20" s="108"/>
      <c r="C20" s="108"/>
      <c r="D20" s="124"/>
      <c r="E20" s="121"/>
      <c r="F20" s="108"/>
      <c r="G20" s="108"/>
      <c r="H20" s="108"/>
      <c r="I20" s="108"/>
    </row>
    <row r="21" spans="1:9" ht="19.5" thickBot="1" x14ac:dyDescent="0.35">
      <c r="A21" s="108">
        <v>5</v>
      </c>
      <c r="B21" s="108"/>
      <c r="C21" s="108" t="s">
        <v>55</v>
      </c>
      <c r="D21" s="117">
        <v>0</v>
      </c>
      <c r="E21" s="121"/>
      <c r="F21" s="108"/>
      <c r="G21" s="108"/>
      <c r="H21" s="108"/>
      <c r="I21" s="108"/>
    </row>
    <row r="22" spans="1:9" ht="19.5" thickTop="1" x14ac:dyDescent="0.3">
      <c r="A22" s="108"/>
      <c r="B22" s="108"/>
      <c r="C22" s="108"/>
      <c r="D22" s="124"/>
      <c r="E22" s="121"/>
      <c r="F22" s="108"/>
      <c r="G22" s="108"/>
      <c r="H22" s="108"/>
      <c r="I22" s="108"/>
    </row>
    <row r="23" spans="1:9" ht="19.5" thickBot="1" x14ac:dyDescent="0.35">
      <c r="A23" s="108">
        <v>6</v>
      </c>
      <c r="B23" s="108"/>
      <c r="C23" s="108" t="s">
        <v>56</v>
      </c>
      <c r="D23" s="117"/>
      <c r="E23" s="121"/>
      <c r="F23" s="108"/>
      <c r="G23" s="108"/>
      <c r="H23" s="108"/>
      <c r="I23" s="108"/>
    </row>
    <row r="24" spans="1:9" ht="19.5" thickTop="1" x14ac:dyDescent="0.3">
      <c r="A24" s="108"/>
      <c r="B24" s="108"/>
      <c r="C24" s="108"/>
      <c r="D24" s="123"/>
      <c r="E24" s="121"/>
      <c r="F24" s="108"/>
      <c r="G24" s="108"/>
      <c r="H24" s="108"/>
      <c r="I24" s="108"/>
    </row>
    <row r="25" spans="1:9" ht="19.5" thickBot="1" x14ac:dyDescent="0.35">
      <c r="C25" s="108" t="s">
        <v>57</v>
      </c>
      <c r="D25" s="120">
        <f>D19+D21+D23</f>
        <v>0</v>
      </c>
      <c r="E25" s="121"/>
      <c r="F25" s="108"/>
      <c r="G25" s="108"/>
      <c r="H25" s="108"/>
      <c r="I25" s="108"/>
    </row>
    <row r="26" spans="1:9" ht="19.5" thickTop="1" x14ac:dyDescent="0.3">
      <c r="A26" s="223" t="s">
        <v>58</v>
      </c>
      <c r="B26" s="223"/>
      <c r="C26" s="223"/>
      <c r="D26" s="223"/>
      <c r="E26" s="223"/>
      <c r="F26" s="112"/>
    </row>
    <row r="27" spans="1:9" ht="19.5" thickBot="1" x14ac:dyDescent="0.35">
      <c r="A27" s="108">
        <v>7</v>
      </c>
      <c r="B27" s="108"/>
      <c r="C27" s="108" t="s">
        <v>58</v>
      </c>
      <c r="D27" s="228">
        <f>'uses of fund by component'!C59+'uses of fund by component'!C91</f>
        <v>75923.347323943657</v>
      </c>
      <c r="E27" s="121"/>
      <c r="F27" s="112"/>
    </row>
    <row r="28" spans="1:9" ht="19.5" thickTop="1" x14ac:dyDescent="0.3">
      <c r="A28" s="108"/>
      <c r="B28" s="108"/>
      <c r="C28" s="108"/>
      <c r="D28" s="122"/>
      <c r="E28" s="121"/>
      <c r="F28" s="112"/>
    </row>
    <row r="29" spans="1:9" x14ac:dyDescent="0.3">
      <c r="A29" s="223" t="s">
        <v>59</v>
      </c>
      <c r="B29" s="223"/>
      <c r="C29" s="223"/>
      <c r="D29" s="223"/>
      <c r="E29" s="223"/>
      <c r="F29" s="112"/>
    </row>
    <row r="30" spans="1:9" ht="19.5" thickBot="1" x14ac:dyDescent="0.35">
      <c r="A30" s="108">
        <v>8</v>
      </c>
      <c r="C30" s="108" t="s">
        <v>60</v>
      </c>
      <c r="D30" s="120"/>
      <c r="E30" s="123"/>
    </row>
    <row r="31" spans="1:9" ht="19.5" thickTop="1" x14ac:dyDescent="0.3">
      <c r="A31" s="108"/>
      <c r="C31" s="108"/>
      <c r="D31" s="124"/>
      <c r="E31" s="123"/>
    </row>
    <row r="32" spans="1:9" x14ac:dyDescent="0.3">
      <c r="A32" s="223" t="s">
        <v>61</v>
      </c>
      <c r="B32" s="223"/>
      <c r="C32" s="223"/>
      <c r="D32" s="223"/>
      <c r="E32" s="223"/>
    </row>
    <row r="33" spans="1:6" ht="19.5" thickBot="1" x14ac:dyDescent="0.35">
      <c r="A33" s="108">
        <v>9</v>
      </c>
      <c r="C33" s="108" t="s">
        <v>62</v>
      </c>
      <c r="D33" s="120">
        <f>'uses of fund by component'!C68</f>
        <v>191489.55105633801</v>
      </c>
    </row>
    <row r="34" spans="1:6" ht="19.5" thickTop="1" x14ac:dyDescent="0.3">
      <c r="A34" s="108"/>
      <c r="C34" s="108"/>
    </row>
    <row r="35" spans="1:6" ht="19.7" customHeight="1" x14ac:dyDescent="0.3">
      <c r="A35" s="224" t="s">
        <v>63</v>
      </c>
      <c r="B35" s="224"/>
      <c r="C35" s="224"/>
      <c r="D35" s="224"/>
      <c r="E35" s="224"/>
    </row>
    <row r="36" spans="1:6" ht="19.5" thickBot="1" x14ac:dyDescent="0.35">
      <c r="A36" s="108">
        <v>10</v>
      </c>
      <c r="B36" s="115"/>
      <c r="C36" s="115" t="s">
        <v>64</v>
      </c>
      <c r="D36" s="126"/>
      <c r="E36" s="112"/>
      <c r="F36" s="112"/>
    </row>
    <row r="37" spans="1:6" ht="19.5" thickTop="1" x14ac:dyDescent="0.3">
      <c r="A37" s="108"/>
      <c r="B37" s="115"/>
      <c r="C37" s="115"/>
      <c r="D37" s="116"/>
      <c r="E37" s="112"/>
      <c r="F37" s="112"/>
    </row>
    <row r="38" spans="1:6" x14ac:dyDescent="0.3">
      <c r="A38" s="223" t="s">
        <v>65</v>
      </c>
      <c r="B38" s="223"/>
      <c r="C38" s="223"/>
      <c r="D38" s="223"/>
      <c r="E38" s="223"/>
      <c r="F38" s="112"/>
    </row>
    <row r="39" spans="1:6" ht="19.5" thickBot="1" x14ac:dyDescent="0.35">
      <c r="A39" s="108">
        <v>11</v>
      </c>
      <c r="C39" s="108" t="s">
        <v>66</v>
      </c>
      <c r="D39" s="120">
        <f>'uses of fund by component'!C282-'NOTES '!D14+1757.04</f>
        <v>34263.742605633837</v>
      </c>
    </row>
    <row r="40" spans="1:6" ht="19.5" thickTop="1" x14ac:dyDescent="0.3">
      <c r="A40" s="108"/>
      <c r="C40" s="108"/>
    </row>
    <row r="41" spans="1:6" ht="19.5" thickBot="1" x14ac:dyDescent="0.35">
      <c r="A41" s="108">
        <v>12</v>
      </c>
      <c r="B41" s="108"/>
      <c r="C41" s="108" t="s">
        <v>67</v>
      </c>
      <c r="D41" s="120"/>
      <c r="E41" s="108"/>
    </row>
    <row r="42" spans="1:6" ht="19.5" thickTop="1" x14ac:dyDescent="0.3">
      <c r="B42" s="108"/>
      <c r="E42" s="108"/>
      <c r="F42" s="144"/>
    </row>
    <row r="43" spans="1:6" ht="19.5" thickBot="1" x14ac:dyDescent="0.35">
      <c r="B43" s="108"/>
      <c r="C43" s="108" t="s">
        <v>68</v>
      </c>
      <c r="D43" s="120">
        <f>D6+D14+D16+D25+D27+D30+D33+D36+D39+D41</f>
        <v>346406.9314788733</v>
      </c>
      <c r="E43" s="180"/>
      <c r="F43" s="144"/>
    </row>
    <row r="44" spans="1:6" ht="19.5" thickTop="1" x14ac:dyDescent="0.3"/>
    <row r="45" spans="1:6" x14ac:dyDescent="0.3">
      <c r="D45" s="144">
        <f>'uses of fund by component'!C310</f>
        <v>346406.93197183101</v>
      </c>
    </row>
    <row r="46" spans="1:6" x14ac:dyDescent="0.3">
      <c r="D46" s="144"/>
    </row>
    <row r="47" spans="1:6" x14ac:dyDescent="0.3">
      <c r="D47" s="144"/>
    </row>
    <row r="49" spans="4:4" x14ac:dyDescent="0.3">
      <c r="D49" s="144"/>
    </row>
  </sheetData>
  <mergeCells count="9">
    <mergeCell ref="A32:E32"/>
    <mergeCell ref="A35:E35"/>
    <mergeCell ref="A38:E38"/>
    <mergeCell ref="A1:E1"/>
    <mergeCell ref="A2:E2"/>
    <mergeCell ref="A4:E4"/>
    <mergeCell ref="A18:E18"/>
    <mergeCell ref="A26:E26"/>
    <mergeCell ref="A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Sources and Uses of Funds</vt:lpstr>
      <vt:lpstr>uses of fund by component</vt:lpstr>
      <vt:lpstr>Committed Fund by component</vt:lpstr>
      <vt:lpstr>NOTES </vt:lpstr>
      <vt:lpstr>'uses of fund by component'!Print_Titles</vt:lpstr>
    </vt:vector>
  </TitlesOfParts>
  <Company>TANROADS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2020-08-12T13:35:44Z</cp:lastPrinted>
  <dcterms:created xsi:type="dcterms:W3CDTF">2007-11-21T06:38:14Z</dcterms:created>
  <dcterms:modified xsi:type="dcterms:W3CDTF">2022-02-15T16:46:05Z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1358434020</vt:i4>
  </property>
  <property fmtid="{D5CDD505-2E9C-101B-9397-08002B2CF9AE}" pid="3" name="_EmailSubject">
    <vt:lpwstr>Proposed Financial  Schedules for the new CTCRP - TANROADS</vt:lpwstr>
  </property>
  <property fmtid="{D5CDD505-2E9C-101B-9397-08002B2CF9AE}" pid="4" name="_AuthorEmail">
    <vt:lpwstr>meritus.njeama@tanroads.org</vt:lpwstr>
  </property>
  <property fmtid="{D5CDD505-2E9C-101B-9397-08002B2CF9AE}" pid="5" name="_AuthorEmailDisplayName">
    <vt:lpwstr>meritus njeama</vt:lpwstr>
  </property>
  <property fmtid="{D5CDD505-2E9C-101B-9397-08002B2CF9AE}" pid="6" name="_ReviewingToolsShownOnce">
    <vt:lpwstr/>
  </property>
</Properties>
</file>